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EstaPasta_de_trabalho"/>
  <xr:revisionPtr revIDLastSave="0" documentId="8_{DE73D1AD-F133-437F-A70C-76C242A46F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O" sheetId="1" r:id="rId1"/>
    <sheet name="Planilha3" sheetId="21" r:id="rId2"/>
    <sheet name="Planilha4" sheetId="22" r:id="rId3"/>
    <sheet name="Planilha6" sheetId="19" r:id="rId4"/>
    <sheet name="PINTURA" sheetId="20" r:id="rId5"/>
    <sheet name="Planilha2" sheetId="15" r:id="rId6"/>
    <sheet name="Planilha1" sheetId="9" r:id="rId7"/>
    <sheet name="Baldrame" sheetId="12" r:id="rId8"/>
    <sheet name="Alvenaria" sheetId="10" r:id="rId9"/>
    <sheet name="Revestimento" sheetId="11" r:id="rId10"/>
    <sheet name="VIGAS, PILARES, VERGAS" sheetId="13" r:id="rId11"/>
  </sheets>
  <definedNames>
    <definedName name="_xlnm.Print_Area" localSheetId="2">Planilha4!$A$1:$M$75</definedName>
    <definedName name="_xlnm.Print_Area" localSheetId="0">PO!$A$1:$I$218</definedName>
    <definedName name="_xlnm.Print_Titles" localSheetId="0">PO!$1:$12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3" i="1" l="1"/>
  <c r="I163" i="1" s="1"/>
  <c r="H162" i="1"/>
  <c r="I162" i="1" s="1"/>
  <c r="H173" i="1" l="1"/>
  <c r="I173" i="1" s="1"/>
  <c r="H75" i="1"/>
  <c r="I75" i="1" s="1"/>
  <c r="H64" i="1"/>
  <c r="I64" i="1" s="1"/>
  <c r="F17" i="1"/>
  <c r="H17" i="1"/>
  <c r="H16" i="1"/>
  <c r="I16" i="1" s="1"/>
  <c r="I17" i="1" l="1"/>
  <c r="H24" i="22"/>
  <c r="F24" i="22"/>
  <c r="L30" i="22"/>
  <c r="L32" i="22"/>
  <c r="D26" i="22"/>
  <c r="I26" i="22"/>
  <c r="C49" i="22" l="1"/>
  <c r="C50" i="22" s="1"/>
  <c r="G24" i="22" l="1"/>
  <c r="K28" i="22"/>
  <c r="J28" i="22"/>
  <c r="K18" i="22"/>
  <c r="J18" i="22"/>
  <c r="I36" i="22"/>
  <c r="H36" i="22"/>
  <c r="H44" i="22" s="1"/>
  <c r="I22" i="22"/>
  <c r="H22" i="22"/>
  <c r="G22" i="22"/>
  <c r="G32" i="22"/>
  <c r="G30" i="22"/>
  <c r="K26" i="22"/>
  <c r="F26" i="22"/>
  <c r="F44" i="22" s="1"/>
  <c r="E26" i="22"/>
  <c r="E44" i="22" s="1"/>
  <c r="D32" i="22"/>
  <c r="D44" i="22" s="1"/>
  <c r="D30" i="22"/>
  <c r="C32" i="22"/>
  <c r="C30" i="22"/>
  <c r="K34" i="22"/>
  <c r="J34" i="22"/>
  <c r="K38" i="22"/>
  <c r="J38" i="22"/>
  <c r="J44" i="22" s="1"/>
  <c r="L42" i="22"/>
  <c r="L44" i="22" s="1"/>
  <c r="L40" i="22"/>
  <c r="M40" i="22" s="1"/>
  <c r="D20" i="22"/>
  <c r="C20" i="22"/>
  <c r="C16" i="22"/>
  <c r="M16" i="22" s="1"/>
  <c r="C14" i="22"/>
  <c r="M14" i="22" s="1"/>
  <c r="I44" i="22" l="1"/>
  <c r="C44" i="22"/>
  <c r="G44" i="22"/>
  <c r="M24" i="22"/>
  <c r="K44" i="22"/>
  <c r="M30" i="22"/>
  <c r="M36" i="22"/>
  <c r="M34" i="22"/>
  <c r="M32" i="22"/>
  <c r="M28" i="22"/>
  <c r="M20" i="22"/>
  <c r="M22" i="22"/>
  <c r="M18" i="22"/>
  <c r="M38" i="22"/>
  <c r="M42" i="22"/>
  <c r="C45" i="22" l="1"/>
  <c r="H98" i="1" l="1"/>
  <c r="I98" i="1" s="1"/>
  <c r="H142" i="1"/>
  <c r="I142" i="1" s="1"/>
  <c r="H86" i="1"/>
  <c r="I86" i="1" s="1"/>
  <c r="H94" i="1"/>
  <c r="I94" i="1" s="1"/>
  <c r="F87" i="20" l="1"/>
  <c r="C87" i="20"/>
  <c r="E87" i="20" s="1"/>
  <c r="F85" i="20"/>
  <c r="F86" i="20"/>
  <c r="C85" i="20"/>
  <c r="C88" i="20"/>
  <c r="E88" i="20" s="1"/>
  <c r="G88" i="20" s="1"/>
  <c r="E86" i="20"/>
  <c r="E85" i="20"/>
  <c r="G85" i="20" s="1"/>
  <c r="E80" i="20"/>
  <c r="G80" i="20" s="1"/>
  <c r="E79" i="20"/>
  <c r="G79" i="20" s="1"/>
  <c r="F72" i="20"/>
  <c r="E72" i="20"/>
  <c r="F71" i="20"/>
  <c r="E71" i="20"/>
  <c r="F70" i="20"/>
  <c r="E70" i="20"/>
  <c r="G70" i="20" s="1"/>
  <c r="F69" i="20"/>
  <c r="E69" i="20"/>
  <c r="G69" i="20" s="1"/>
  <c r="F68" i="20"/>
  <c r="E68" i="20"/>
  <c r="F67" i="20"/>
  <c r="E67" i="20"/>
  <c r="F66" i="20"/>
  <c r="E66" i="20"/>
  <c r="G66" i="20" s="1"/>
  <c r="C61" i="20"/>
  <c r="E61" i="20" s="1"/>
  <c r="G61" i="20" s="1"/>
  <c r="E60" i="20"/>
  <c r="G60" i="20" s="1"/>
  <c r="F59" i="20"/>
  <c r="E59" i="20"/>
  <c r="F58" i="20"/>
  <c r="C58" i="20"/>
  <c r="E58" i="20" s="1"/>
  <c r="F57" i="20"/>
  <c r="D57" i="20"/>
  <c r="E57" i="20" s="1"/>
  <c r="G57" i="20" s="1"/>
  <c r="F50" i="20"/>
  <c r="C50" i="20"/>
  <c r="E50" i="20" s="1"/>
  <c r="F49" i="20"/>
  <c r="C49" i="20"/>
  <c r="E49" i="20" s="1"/>
  <c r="G49" i="20" s="1"/>
  <c r="F48" i="20"/>
  <c r="C48" i="20"/>
  <c r="E48" i="20" s="1"/>
  <c r="C43" i="20"/>
  <c r="E43" i="20" s="1"/>
  <c r="G43" i="20" s="1"/>
  <c r="E42" i="20"/>
  <c r="G42" i="20" s="1"/>
  <c r="F41" i="20"/>
  <c r="E41" i="20"/>
  <c r="F40" i="20"/>
  <c r="C40" i="20"/>
  <c r="E40" i="20" s="1"/>
  <c r="G40" i="20" s="1"/>
  <c r="F39" i="20"/>
  <c r="D39" i="20"/>
  <c r="E39" i="20" s="1"/>
  <c r="G39" i="20" s="1"/>
  <c r="F33" i="20"/>
  <c r="F32" i="20"/>
  <c r="F31" i="20"/>
  <c r="F30" i="20"/>
  <c r="F29" i="20"/>
  <c r="F28" i="20"/>
  <c r="F27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14" i="20"/>
  <c r="E27" i="20"/>
  <c r="E28" i="20"/>
  <c r="E29" i="20"/>
  <c r="E30" i="20"/>
  <c r="E31" i="20"/>
  <c r="E32" i="20"/>
  <c r="E33" i="20"/>
  <c r="G13" i="20"/>
  <c r="F65" i="1"/>
  <c r="F66" i="1"/>
  <c r="H169" i="1"/>
  <c r="C8" i="20"/>
  <c r="E8" i="20" s="1"/>
  <c r="G8" i="20" s="1"/>
  <c r="E7" i="20"/>
  <c r="G7" i="20" s="1"/>
  <c r="F6" i="20"/>
  <c r="E6" i="20"/>
  <c r="F5" i="20"/>
  <c r="C5" i="20"/>
  <c r="E5" i="20" s="1"/>
  <c r="F4" i="20"/>
  <c r="D4" i="20"/>
  <c r="E4" i="20" s="1"/>
  <c r="H77" i="1"/>
  <c r="I169" i="1" l="1"/>
  <c r="G86" i="20"/>
  <c r="G67" i="20"/>
  <c r="G59" i="20"/>
  <c r="G87" i="20"/>
  <c r="G89" i="20" s="1"/>
  <c r="G81" i="20"/>
  <c r="G72" i="20"/>
  <c r="G5" i="20"/>
  <c r="G48" i="20"/>
  <c r="G68" i="20"/>
  <c r="G41" i="20"/>
  <c r="G44" i="20" s="1"/>
  <c r="G50" i="20"/>
  <c r="G71" i="20"/>
  <c r="G4" i="20"/>
  <c r="G31" i="20"/>
  <c r="G58" i="20"/>
  <c r="G6" i="20"/>
  <c r="G33" i="20"/>
  <c r="G27" i="20"/>
  <c r="G30" i="20"/>
  <c r="G32" i="20"/>
  <c r="G29" i="20"/>
  <c r="G28" i="20"/>
  <c r="I77" i="1"/>
  <c r="H161" i="1"/>
  <c r="I161" i="1" s="1"/>
  <c r="F25" i="19"/>
  <c r="F18" i="19"/>
  <c r="F17" i="19"/>
  <c r="E25" i="19"/>
  <c r="E24" i="19"/>
  <c r="E19" i="19"/>
  <c r="G19" i="19" s="1"/>
  <c r="E18" i="19"/>
  <c r="E17" i="19"/>
  <c r="G17" i="19" s="1"/>
  <c r="E16" i="19"/>
  <c r="G16" i="19" s="1"/>
  <c r="L8" i="19"/>
  <c r="L9" i="19"/>
  <c r="K7" i="19"/>
  <c r="L7" i="19" s="1"/>
  <c r="K6" i="19"/>
  <c r="L6" i="19" s="1"/>
  <c r="K5" i="19"/>
  <c r="L5" i="19" s="1"/>
  <c r="K4" i="19"/>
  <c r="L4" i="19" s="1"/>
  <c r="F4" i="19"/>
  <c r="F11" i="19"/>
  <c r="F8" i="19"/>
  <c r="F7" i="19"/>
  <c r="F5" i="19"/>
  <c r="F6" i="19" s="1"/>
  <c r="E10" i="19"/>
  <c r="G10" i="19" s="1"/>
  <c r="E11" i="19"/>
  <c r="E5" i="19"/>
  <c r="E6" i="19"/>
  <c r="E7" i="19"/>
  <c r="E8" i="19"/>
  <c r="E9" i="19"/>
  <c r="G9" i="19" s="1"/>
  <c r="E4" i="19"/>
  <c r="B5" i="11"/>
  <c r="C5" i="11"/>
  <c r="D5" i="11"/>
  <c r="E5" i="11"/>
  <c r="F5" i="11"/>
  <c r="G5" i="11"/>
  <c r="H5" i="11"/>
  <c r="I5" i="11"/>
  <c r="B6" i="11"/>
  <c r="C6" i="11"/>
  <c r="D6" i="11"/>
  <c r="G4" i="19" l="1"/>
  <c r="G62" i="20"/>
  <c r="G51" i="20"/>
  <c r="G52" i="20" s="1"/>
  <c r="G73" i="20"/>
  <c r="G74" i="20" s="1"/>
  <c r="G9" i="20"/>
  <c r="G34" i="20"/>
  <c r="G25" i="19"/>
  <c r="G24" i="19"/>
  <c r="G18" i="19"/>
  <c r="G20" i="19" s="1"/>
  <c r="L10" i="19"/>
  <c r="G7" i="19"/>
  <c r="G5" i="19"/>
  <c r="G11" i="19"/>
  <c r="G8" i="19"/>
  <c r="G6" i="19"/>
  <c r="F124" i="1"/>
  <c r="F125" i="1"/>
  <c r="H120" i="1"/>
  <c r="I120" i="1" s="1"/>
  <c r="F123" i="1"/>
  <c r="F122" i="1"/>
  <c r="F121" i="1"/>
  <c r="H122" i="1"/>
  <c r="H123" i="1"/>
  <c r="H124" i="1"/>
  <c r="H125" i="1"/>
  <c r="I125" i="1" s="1"/>
  <c r="H121" i="1"/>
  <c r="F115" i="1"/>
  <c r="H74" i="1"/>
  <c r="I74" i="1" s="1"/>
  <c r="F129" i="1"/>
  <c r="F158" i="1"/>
  <c r="H158" i="1"/>
  <c r="F133" i="1"/>
  <c r="O28" i="11"/>
  <c r="P27" i="11"/>
  <c r="P23" i="11"/>
  <c r="P20" i="11"/>
  <c r="P17" i="11"/>
  <c r="P15" i="11"/>
  <c r="P14" i="11"/>
  <c r="E26" i="12"/>
  <c r="N26" i="12" s="1"/>
  <c r="E29" i="12"/>
  <c r="N28" i="12"/>
  <c r="K27" i="12"/>
  <c r="K23" i="12"/>
  <c r="E23" i="12"/>
  <c r="N22" i="12"/>
  <c r="K21" i="12"/>
  <c r="N20" i="12"/>
  <c r="N23" i="12" s="1"/>
  <c r="K20" i="12"/>
  <c r="H20" i="12"/>
  <c r="Q20" i="12" s="1"/>
  <c r="Q23" i="12" s="1"/>
  <c r="F30" i="1"/>
  <c r="F29" i="1"/>
  <c r="E11" i="12"/>
  <c r="H174" i="1"/>
  <c r="H175" i="1"/>
  <c r="N29" i="12" l="1"/>
  <c r="H23" i="12"/>
  <c r="I121" i="1"/>
  <c r="G26" i="19"/>
  <c r="G12" i="19"/>
  <c r="I124" i="1"/>
  <c r="I123" i="1"/>
  <c r="P28" i="11"/>
  <c r="O29" i="11" s="1"/>
  <c r="I122" i="1"/>
  <c r="I158" i="1"/>
  <c r="I174" i="1"/>
  <c r="N31" i="12"/>
  <c r="E31" i="12"/>
  <c r="H26" i="12"/>
  <c r="K26" i="12"/>
  <c r="K29" i="12" s="1"/>
  <c r="K31" i="12" s="1"/>
  <c r="I175" i="1"/>
  <c r="G12" i="15"/>
  <c r="G13" i="15" s="1"/>
  <c r="G4" i="15"/>
  <c r="G7" i="15" s="1"/>
  <c r="G5" i="15"/>
  <c r="G6" i="15"/>
  <c r="H29" i="12" l="1"/>
  <c r="H31" i="12" s="1"/>
  <c r="Q26" i="12"/>
  <c r="Q29" i="12" s="1"/>
  <c r="Q31" i="12" s="1"/>
  <c r="H53" i="1"/>
  <c r="I176" i="1" l="1"/>
  <c r="I53" i="1"/>
  <c r="F33" i="11"/>
  <c r="F157" i="1"/>
  <c r="H115" i="1" l="1"/>
  <c r="I115" i="1" s="1"/>
  <c r="H114" i="1"/>
  <c r="I114" i="1" s="1"/>
  <c r="H160" i="1" l="1"/>
  <c r="I160" i="1" s="1"/>
  <c r="H156" i="1"/>
  <c r="I156" i="1" s="1"/>
  <c r="H157" i="1"/>
  <c r="I157" i="1" s="1"/>
  <c r="H159" i="1"/>
  <c r="I159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H146" i="1"/>
  <c r="I146" i="1" s="1"/>
  <c r="H82" i="1"/>
  <c r="I82" i="1" s="1"/>
  <c r="H83" i="1"/>
  <c r="I83" i="1" s="1"/>
  <c r="H84" i="1"/>
  <c r="I84" i="1" s="1"/>
  <c r="H85" i="1"/>
  <c r="I85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5" i="1"/>
  <c r="I95" i="1" s="1"/>
  <c r="H96" i="1"/>
  <c r="I96" i="1" s="1"/>
  <c r="H97" i="1"/>
  <c r="I97" i="1" s="1"/>
  <c r="H81" i="1"/>
  <c r="I81" i="1" s="1"/>
  <c r="I99" i="1" l="1"/>
  <c r="I147" i="1"/>
  <c r="I164" i="1" s="1"/>
  <c r="H68" i="1" l="1"/>
  <c r="I68" i="1" s="1"/>
  <c r="B13" i="11"/>
  <c r="D13" i="11" s="1"/>
  <c r="C13" i="11" l="1"/>
  <c r="H48" i="1"/>
  <c r="B57" i="11"/>
  <c r="D56" i="11"/>
  <c r="D57" i="11" s="1"/>
  <c r="C56" i="11"/>
  <c r="C57" i="11" s="1"/>
  <c r="E15" i="10"/>
  <c r="B58" i="11" l="1"/>
  <c r="C58" i="11" s="1"/>
  <c r="I48" i="1"/>
  <c r="E57" i="11"/>
  <c r="H38" i="1"/>
  <c r="F38" i="1"/>
  <c r="E27" i="10"/>
  <c r="J16" i="13"/>
  <c r="F32" i="13"/>
  <c r="I38" i="1" l="1"/>
  <c r="H113" i="1"/>
  <c r="I113" i="1" s="1"/>
  <c r="H112" i="1"/>
  <c r="I112" i="1" s="1"/>
  <c r="H111" i="1"/>
  <c r="I111" i="1" s="1"/>
  <c r="H110" i="1"/>
  <c r="I110" i="1" s="1"/>
  <c r="H131" i="1"/>
  <c r="I131" i="1" s="1"/>
  <c r="H133" i="1"/>
  <c r="H130" i="1"/>
  <c r="I130" i="1" s="1"/>
  <c r="H132" i="1"/>
  <c r="I132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09" i="1"/>
  <c r="I109" i="1" s="1"/>
  <c r="H107" i="1"/>
  <c r="I107" i="1" s="1"/>
  <c r="H106" i="1"/>
  <c r="I106" i="1" s="1"/>
  <c r="H105" i="1"/>
  <c r="I105" i="1" s="1"/>
  <c r="H103" i="1"/>
  <c r="I103" i="1" s="1"/>
  <c r="H104" i="1"/>
  <c r="I104" i="1" s="1"/>
  <c r="H108" i="1"/>
  <c r="I108" i="1" s="1"/>
  <c r="H116" i="1"/>
  <c r="I116" i="1" s="1"/>
  <c r="H117" i="1"/>
  <c r="I117" i="1" s="1"/>
  <c r="H118" i="1"/>
  <c r="I118" i="1" s="1"/>
  <c r="H119" i="1"/>
  <c r="I119" i="1" s="1"/>
  <c r="I133" i="1" l="1"/>
  <c r="H129" i="1" l="1"/>
  <c r="I129" i="1" s="1"/>
  <c r="I143" i="1" s="1"/>
  <c r="H76" i="1" l="1"/>
  <c r="I76" i="1" s="1"/>
  <c r="G21" i="13" l="1"/>
  <c r="F21" i="13"/>
  <c r="G20" i="13"/>
  <c r="F20" i="13"/>
  <c r="H57" i="1"/>
  <c r="F28" i="13"/>
  <c r="F29" i="13" s="1"/>
  <c r="F33" i="13"/>
  <c r="F35" i="13" s="1"/>
  <c r="G22" i="13"/>
  <c r="F22" i="13"/>
  <c r="E39" i="10"/>
  <c r="E40" i="10"/>
  <c r="E33" i="10"/>
  <c r="E34" i="10" s="1"/>
  <c r="H102" i="1"/>
  <c r="I102" i="1" s="1"/>
  <c r="I126" i="1" s="1"/>
  <c r="J19" i="13" l="1"/>
  <c r="G19" i="13"/>
  <c r="F19" i="13"/>
  <c r="G39" i="11"/>
  <c r="H39" i="11" s="1"/>
  <c r="H40" i="11" s="1"/>
  <c r="H31" i="11"/>
  <c r="G33" i="11"/>
  <c r="H33" i="11" s="1"/>
  <c r="F39" i="11"/>
  <c r="B50" i="11"/>
  <c r="F34" i="11"/>
  <c r="F23" i="11"/>
  <c r="F25" i="11" s="1"/>
  <c r="F26" i="11" s="1"/>
  <c r="C38" i="11"/>
  <c r="B31" i="11"/>
  <c r="C31" i="11" s="1"/>
  <c r="B23" i="11"/>
  <c r="B25" i="11" s="1"/>
  <c r="B26" i="11" s="1"/>
  <c r="D48" i="11"/>
  <c r="D50" i="11" s="1"/>
  <c r="D15" i="11"/>
  <c r="D16" i="11" s="1"/>
  <c r="C15" i="11"/>
  <c r="B15" i="11"/>
  <c r="B12" i="11"/>
  <c r="I8" i="11"/>
  <c r="I57" i="1" s="1"/>
  <c r="C16" i="11" l="1"/>
  <c r="B16" i="11"/>
  <c r="G40" i="11"/>
  <c r="J20" i="13"/>
  <c r="J22" i="13"/>
  <c r="J21" i="13"/>
  <c r="C23" i="11"/>
  <c r="C25" i="11" s="1"/>
  <c r="C26" i="11" s="1"/>
  <c r="H34" i="11"/>
  <c r="G34" i="11"/>
  <c r="F40" i="11"/>
  <c r="G23" i="11"/>
  <c r="C48" i="11"/>
  <c r="C50" i="11" s="1"/>
  <c r="I7" i="11"/>
  <c r="C40" i="11"/>
  <c r="B40" i="11"/>
  <c r="C33" i="11"/>
  <c r="B33" i="11"/>
  <c r="F10" i="13"/>
  <c r="G45" i="11" l="1"/>
  <c r="I9" i="11"/>
  <c r="G46" i="11"/>
  <c r="G25" i="11"/>
  <c r="G26" i="11" s="1"/>
  <c r="G47" i="11" s="1"/>
  <c r="N13" i="12"/>
  <c r="K12" i="12"/>
  <c r="H11" i="12"/>
  <c r="E8" i="12"/>
  <c r="N7" i="12"/>
  <c r="K6" i="12"/>
  <c r="N5" i="12"/>
  <c r="K5" i="12"/>
  <c r="K8" i="12" s="1"/>
  <c r="H5" i="12"/>
  <c r="H8" i="12" s="1"/>
  <c r="I13" i="10"/>
  <c r="I12" i="10"/>
  <c r="I11" i="10"/>
  <c r="I10" i="10"/>
  <c r="I9" i="10"/>
  <c r="I8" i="10"/>
  <c r="E28" i="10"/>
  <c r="E21" i="10"/>
  <c r="E22" i="10" s="1"/>
  <c r="E10" i="10"/>
  <c r="I14" i="10" l="1"/>
  <c r="E16" i="10"/>
  <c r="N8" i="12"/>
  <c r="Q5" i="12"/>
  <c r="Q8" i="12" s="1"/>
  <c r="Q11" i="12"/>
  <c r="Q14" i="12" s="1"/>
  <c r="H14" i="12"/>
  <c r="H16" i="12" s="1"/>
  <c r="E14" i="12"/>
  <c r="E16" i="12" s="1"/>
  <c r="K11" i="12"/>
  <c r="K14" i="12" s="1"/>
  <c r="K16" i="12" s="1"/>
  <c r="N11" i="12"/>
  <c r="N14" i="12" s="1"/>
  <c r="B9" i="9"/>
  <c r="G17" i="10" l="1"/>
  <c r="Q16" i="12"/>
  <c r="N16" i="12"/>
  <c r="B48" i="9"/>
  <c r="B49" i="9" s="1"/>
  <c r="H41" i="1" l="1"/>
  <c r="I41" i="1" s="1"/>
  <c r="H28" i="1"/>
  <c r="I28" i="1" s="1"/>
  <c r="K11" i="9"/>
  <c r="K5" i="9"/>
  <c r="H10" i="9"/>
  <c r="H4" i="9"/>
  <c r="K9" i="9"/>
  <c r="H3" i="9"/>
  <c r="E3" i="9" l="1"/>
  <c r="N3" i="9" s="1"/>
  <c r="N6" i="9" s="1"/>
  <c r="K3" i="9"/>
  <c r="E9" i="9"/>
  <c r="N9" i="9" s="1"/>
  <c r="N12" i="9" s="1"/>
  <c r="H9" i="9"/>
  <c r="H58" i="1"/>
  <c r="I58" i="1" s="1"/>
  <c r="H56" i="1"/>
  <c r="I56" i="1" s="1"/>
  <c r="H55" i="1"/>
  <c r="I55" i="1" s="1"/>
  <c r="H54" i="1"/>
  <c r="H29" i="1"/>
  <c r="I29" i="1" s="1"/>
  <c r="N14" i="9" l="1"/>
  <c r="I54" i="1"/>
  <c r="I59" i="1" s="1"/>
  <c r="H30" i="1"/>
  <c r="I30" i="1" s="1"/>
  <c r="H27" i="1"/>
  <c r="I27" i="1" s="1"/>
  <c r="H26" i="1"/>
  <c r="I26" i="1" s="1"/>
  <c r="H24" i="1"/>
  <c r="H25" i="1"/>
  <c r="H23" i="1"/>
  <c r="I24" i="1" l="1"/>
  <c r="I25" i="1"/>
  <c r="I23" i="1"/>
  <c r="H22" i="1" l="1"/>
  <c r="I22" i="1" s="1"/>
  <c r="I31" i="1" s="1"/>
  <c r="H39" i="9" l="1"/>
  <c r="H38" i="9"/>
  <c r="E42" i="9"/>
  <c r="B42" i="9"/>
  <c r="E38" i="9"/>
  <c r="E40" i="9" s="1"/>
  <c r="E41" i="9"/>
  <c r="B39" i="9"/>
  <c r="B38" i="9"/>
  <c r="H43" i="9" l="1"/>
  <c r="B40" i="9"/>
  <c r="B43" i="9" s="1"/>
  <c r="E43" i="9"/>
  <c r="E32" i="9"/>
  <c r="B32" i="9"/>
  <c r="H31" i="9" s="1"/>
  <c r="H27" i="9" l="1"/>
  <c r="E27" i="9"/>
  <c r="E21" i="9"/>
  <c r="B27" i="9"/>
  <c r="N21" i="9"/>
  <c r="K21" i="9"/>
  <c r="H21" i="9"/>
  <c r="E12" i="9"/>
  <c r="E6" i="9"/>
  <c r="B21" i="9"/>
  <c r="C29" i="9" l="1"/>
  <c r="E14" i="9"/>
  <c r="K12" i="9" l="1"/>
  <c r="K6" i="9"/>
  <c r="K14" i="9" l="1"/>
  <c r="H168" i="1" l="1"/>
  <c r="I168" i="1" s="1"/>
  <c r="H167" i="1"/>
  <c r="I167" i="1" s="1"/>
  <c r="H73" i="1"/>
  <c r="H72" i="1"/>
  <c r="I72" i="1" s="1"/>
  <c r="H12" i="9"/>
  <c r="H6" i="9"/>
  <c r="B12" i="9"/>
  <c r="H45" i="1"/>
  <c r="H49" i="1"/>
  <c r="I49" i="1" s="1"/>
  <c r="H36" i="1"/>
  <c r="I36" i="1" s="1"/>
  <c r="F29" i="9" l="1"/>
  <c r="H14" i="9"/>
  <c r="I73" i="1"/>
  <c r="I78" i="1" s="1"/>
  <c r="B6" i="9" l="1"/>
  <c r="B14" i="9" s="1"/>
  <c r="H66" i="1" l="1"/>
  <c r="H65" i="1"/>
  <c r="H63" i="1"/>
  <c r="I63" i="1" s="1"/>
  <c r="H46" i="1"/>
  <c r="H39" i="1" l="1"/>
  <c r="I39" i="1" s="1"/>
  <c r="H179" i="1" l="1"/>
  <c r="I170" i="1" l="1"/>
  <c r="H18" i="1"/>
  <c r="I18" i="1" s="1"/>
  <c r="I179" i="1" l="1"/>
  <c r="I180" i="1" s="1"/>
  <c r="H67" i="1"/>
  <c r="I67" i="1" s="1"/>
  <c r="I66" i="1"/>
  <c r="H62" i="1"/>
  <c r="I62" i="1" s="1"/>
  <c r="H34" i="1" l="1"/>
  <c r="I34" i="1" s="1"/>
  <c r="H35" i="1"/>
  <c r="H37" i="1"/>
  <c r="I37" i="1" s="1"/>
  <c r="H40" i="1"/>
  <c r="I40" i="1" s="1"/>
  <c r="H47" i="1"/>
  <c r="H15" i="1"/>
  <c r="I15" i="1" s="1"/>
  <c r="I19" i="1" s="1"/>
  <c r="I65" i="1" l="1"/>
  <c r="I69" i="1" s="1"/>
  <c r="I47" i="1" l="1"/>
  <c r="I46" i="1"/>
  <c r="I45" i="1"/>
  <c r="I50" i="1" l="1"/>
  <c r="I35" i="1"/>
  <c r="I42" i="1" s="1"/>
  <c r="I182" i="1" l="1"/>
  <c r="M26" i="22"/>
  <c r="M44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0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somado imperm. Viga baldrame + imperm. Do arrimo parede lateral</t>
        </r>
      </text>
    </comment>
    <comment ref="D34" authorId="0" shapeId="0" xr:uid="{00000000-0006-0000-0000-00000D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VIGAS BALDRAME, VIGAS RESPALDO, PILARES</t>
        </r>
      </text>
    </comment>
    <comment ref="D37" authorId="0" shapeId="0" xr:uid="{00000000-0006-0000-0000-00000E000000}">
      <text>
        <r>
          <rPr>
            <b/>
            <sz val="9"/>
            <color indexed="81"/>
            <rFont val="Segoe UI"/>
            <family val="2"/>
          </rPr>
          <t xml:space="preserve">Autor:
</t>
        </r>
        <r>
          <rPr>
            <sz val="9"/>
            <color indexed="81"/>
            <rFont val="Segoe UI"/>
            <family val="2"/>
          </rPr>
          <t>VIGAS RESPALDO, PILARES
faltou lançametno e adensamento do concreto</t>
        </r>
      </text>
    </comment>
    <comment ref="D40" authorId="0" shapeId="0" xr:uid="{00000000-0006-0000-0000-00000F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CONFIRMAR ESSE BLOCO
</t>
        </r>
      </text>
    </comment>
    <comment ref="D41" authorId="0" shapeId="0" xr:uid="{00000000-0006-0000-0000-000010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PAREDE DIVISA + ARRIMO LATERAL
</t>
        </r>
      </text>
    </comment>
    <comment ref="D49" authorId="0" shapeId="0" xr:uid="{00000000-0006-0000-0000-00001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COZINHA E DML</t>
        </r>
      </text>
    </comment>
    <comment ref="F56" authorId="0" shapeId="0" xr:uid="{00000000-0006-0000-0000-00001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PISO TOTAL  - ÁREA PISCINA + REVESTIMENTO FACHADA</t>
        </r>
      </text>
    </comment>
    <comment ref="F58" authorId="0" shapeId="0" xr:uid="{00000000-0006-0000-0000-000013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SOLEIRA E PEITORIL</t>
        </r>
      </text>
    </comment>
    <comment ref="F62" authorId="0" shapeId="0" xr:uid="{00000000-0006-0000-0000-000014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ESTRUTURA TELHADO+ ESTRUTURA MARQUIZE+ ESTRUTURA RESERVATÓRIOS</t>
        </r>
      </text>
    </comment>
    <comment ref="F65" authorId="0" shapeId="0" xr:uid="{00000000-0006-0000-0000-000015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RUFOS E CONTRARUFOS
</t>
        </r>
      </text>
    </comment>
    <comment ref="F66" authorId="0" shapeId="0" xr:uid="{00000000-0006-0000-0000-000016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CALHAS PRINCIPAIS</t>
        </r>
      </text>
    </comment>
    <comment ref="D72" authorId="0" shapeId="0" xr:uid="{00000000-0006-0000-0000-000018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COMERCIAL OU SOB MEDIDA
SE FOR SOB MEDIDO ACRESCENTAR VIDRO</t>
        </r>
      </text>
    </comment>
    <comment ref="F73" authorId="0" shapeId="0" xr:uid="{00000000-0006-0000-0000-000019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PORTAS BANHEIROS, DEPÓSITO E VESTIÁRIOS</t>
        </r>
      </text>
    </comment>
    <comment ref="F75" authorId="0" shapeId="0" xr:uid="{3DBCC85C-D64E-45FA-BC21-3F60B373FAC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SOLEIRA E PEITORIL</t>
        </r>
      </text>
    </comment>
    <comment ref="D77" authorId="0" shapeId="0" xr:uid="{00000000-0006-0000-0000-00001D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BOX BANHEIROS
</t>
        </r>
      </text>
    </comment>
    <comment ref="D103" authorId="0" shapeId="0" xr:uid="{00000000-0006-0000-0000-00001E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INCLUIR: ALIMENTAÇÃO, AGUA FRIA E DRENO DOS AR CONDIONADO</t>
        </r>
      </text>
    </comment>
    <comment ref="D104" authorId="0" shapeId="0" xr:uid="{00000000-0006-0000-0000-00001F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PARTE DO RESERVATÓRIO + LADRÃO E EXTRAVASOR CAIXA D' ÁGUA</t>
        </r>
      </text>
    </comment>
    <comment ref="D105" authorId="0" shapeId="0" xr:uid="{00000000-0006-0000-0000-000020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RESERVATÓRIO
</t>
        </r>
      </text>
    </comment>
    <comment ref="F115" authorId="0" shapeId="0" xr:uid="{00000000-0006-0000-0000-000021000000}">
      <text>
        <r>
          <rPr>
            <b/>
            <sz val="9"/>
            <color indexed="81"/>
            <rFont val="Segoe UI"/>
            <family val="2"/>
          </rPr>
          <t xml:space="preserve">GRELHA PLUVIAL CORREDOR LATERAL EXTERNO E EM VOLTA DA PISCINA PARA TRANSBORDO DE ÁGUA
</t>
        </r>
      </text>
    </comment>
    <comment ref="F120" authorId="0" shapeId="0" xr:uid="{00000000-0006-0000-0000-000022000000}">
      <text>
        <r>
          <rPr>
            <b/>
            <sz val="9"/>
            <color indexed="81"/>
            <rFont val="Segoe UI"/>
            <family val="2"/>
          </rPr>
          <t>PARA FAZER A CAIXA</t>
        </r>
      </text>
    </comment>
    <comment ref="F121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2 CAIXAS DE ESGOTO</t>
        </r>
      </text>
    </comment>
    <comment ref="F122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2 CAIXAS DE ESGOTO</t>
        </r>
      </text>
    </comment>
    <comment ref="F123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2 CAIXAS DE ESGOTO</t>
        </r>
      </text>
    </comment>
    <comment ref="F12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CONCRETO TAMPA + FUNDO DA CAIXA</t>
        </r>
      </text>
    </comment>
    <comment ref="F125" authorId="0" shapeId="0" xr:uid="{00000000-0006-0000-0000-000027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TAMPA</t>
        </r>
      </text>
    </comment>
    <comment ref="F129" authorId="0" shapeId="0" xr:uid="{00000000-0006-0000-0000-000028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BANHEIROS
COZINHA = PIA E BALCÃO + tampo casa de máquinas
</t>
        </r>
      </text>
    </comment>
    <comment ref="F133" authorId="0" shapeId="0" xr:uid="{00000000-0006-0000-0000-000029000000}">
      <text>
        <r>
          <rPr>
            <b/>
            <sz val="9"/>
            <color indexed="81"/>
            <rFont val="Segoe UI"/>
            <family val="2"/>
          </rPr>
          <t>EM BAIXO DA PIA + DEPÓSITO</t>
        </r>
      </text>
    </comment>
    <comment ref="F134" authorId="0" shapeId="0" xr:uid="{00000000-0006-0000-0000-00002A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TORNEIRA JARDIM</t>
        </r>
      </text>
    </comment>
    <comment ref="D135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torneira lavatório
</t>
        </r>
      </text>
    </comment>
    <comment ref="D146" authorId="0" shapeId="0" xr:uid="{00000000-0006-0000-0000-00002C000000}">
      <text>
        <r>
          <rPr>
            <b/>
            <sz val="9"/>
            <color indexed="81"/>
            <rFont val="Segoe UI"/>
            <family val="2"/>
          </rPr>
          <t xml:space="preserve">ESCAVAÇÃO PISCINA COM 1 M DE FOLGA DE CADA LADO </t>
        </r>
      </text>
    </comment>
    <comment ref="D147" authorId="0" shapeId="0" xr:uid="{00000000-0006-0000-0000-00002D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BROCA OU SAPATA
</t>
        </r>
      </text>
    </comment>
    <comment ref="D149" authorId="0" shapeId="0" xr:uid="{00000000-0006-0000-0000-00002E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VIGAS BALDRAME, VIGAS RESPALDO, PILARES</t>
        </r>
      </text>
    </comment>
    <comment ref="D152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VIGAS BALDRAME</t>
        </r>
      </text>
    </comment>
    <comment ref="D169" authorId="0" shapeId="0" xr:uid="{00000000-0006-0000-0000-00003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PARA A ESTRUTURA DA MARQUISE</t>
        </r>
      </text>
    </comment>
    <comment ref="F174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concreto: passeio novo +piso corredor externo lateral + vaga ambulancia + rampa + floreiras
</t>
        </r>
      </text>
    </comment>
    <comment ref="F175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 xml:space="preserve">ambulância
tela q335 = 5,37 kg/m²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42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JANELAS PORTAS REVESTIMENTO CERÂMICO</t>
        </r>
      </text>
    </comment>
  </commentList>
</comments>
</file>

<file path=xl/sharedStrings.xml><?xml version="1.0" encoding="utf-8"?>
<sst xmlns="http://schemas.openxmlformats.org/spreadsheetml/2006/main" count="1415" uniqueCount="675">
  <si>
    <t>1.1</t>
  </si>
  <si>
    <t>BDI</t>
  </si>
  <si>
    <t>kg</t>
  </si>
  <si>
    <t>sub total</t>
  </si>
  <si>
    <t>TOTAL GERAL</t>
  </si>
  <si>
    <t>17.01.020</t>
  </si>
  <si>
    <t>16.33.052</t>
  </si>
  <si>
    <t>16.33.022</t>
  </si>
  <si>
    <t>CALHA, RUFO, AFINS  EM CHAPA GALVANIZADA Nº 24 -  CORTE 0,50 M</t>
  </si>
  <si>
    <t>CALHA, RUFO, AFINS  EM CHAPA GALVANIZADA Nº 24 -  CORTE 0,33 M</t>
  </si>
  <si>
    <t>FONTE</t>
  </si>
  <si>
    <t>OBRA:</t>
  </si>
  <si>
    <t>DATA BASE</t>
  </si>
  <si>
    <t>LOCAL:</t>
  </si>
  <si>
    <t>MUNICIPIO:</t>
  </si>
  <si>
    <t>2.1</t>
  </si>
  <si>
    <t>4.1</t>
  </si>
  <si>
    <t>4.2</t>
  </si>
  <si>
    <t>4.3</t>
  </si>
  <si>
    <t>4.4</t>
  </si>
  <si>
    <t>7.1</t>
  </si>
  <si>
    <t>8.1</t>
  </si>
  <si>
    <t>32.15.030</t>
  </si>
  <si>
    <t>14.01.020</t>
  </si>
  <si>
    <t>ALVENARIA DE EMBASAMENTO EM TIJOLO MACIÇO COMUM</t>
  </si>
  <si>
    <t>ESCAVAÇÃO MANUAL EM SOLO DE 1ª e 2ª CATEGORIA EM VALA OU CAVA ATÉ 1,50M</t>
  </si>
  <si>
    <t>06.02.020</t>
  </si>
  <si>
    <t>COBERTURA</t>
  </si>
  <si>
    <t>ESQUADRIAS</t>
  </si>
  <si>
    <t xml:space="preserve">PINTURA </t>
  </si>
  <si>
    <t>02.09.030</t>
  </si>
  <si>
    <t>02.10.020</t>
  </si>
  <si>
    <t>11.16.040</t>
  </si>
  <si>
    <t>LANÇAMENTO E ADENSAMENTO DE CONCRETO OU MASSA EM FUNDAÇÃO</t>
  </si>
  <si>
    <t>ATERRO MANUAL APILOADO DE ÁREA INTERNA COM MAÇO DE 30KG</t>
  </si>
  <si>
    <t>17.01.040</t>
  </si>
  <si>
    <t>55.01.020</t>
  </si>
  <si>
    <t>1.2</t>
  </si>
  <si>
    <t>1.3</t>
  </si>
  <si>
    <t>3.0</t>
  </si>
  <si>
    <t>2.0</t>
  </si>
  <si>
    <t>1.0</t>
  </si>
  <si>
    <t>3.1</t>
  </si>
  <si>
    <t>3.2</t>
  </si>
  <si>
    <t>3.3</t>
  </si>
  <si>
    <t>4.0</t>
  </si>
  <si>
    <t>5.0</t>
  </si>
  <si>
    <t>5.3</t>
  </si>
  <si>
    <t>5.4</t>
  </si>
  <si>
    <t>7.0</t>
  </si>
  <si>
    <t>8.0</t>
  </si>
  <si>
    <t>LIMPEZA MANUAL DO TERRENO, INCLUSIVE TRONCOS ATÉ 5 CM DE DIÂMETRO, COM CAMINHÃO À DISPOSIÇÃO DENTRO DA OBRA, ATÉ O RAIO DE 1 KM</t>
  </si>
  <si>
    <t>LOCAÇÃO DA OBRA DE EDIFICAÇÃO</t>
  </si>
  <si>
    <t>06.12.020</t>
  </si>
  <si>
    <t>LASTRO DE CONCRETO IMPERMEABILIZADO</t>
  </si>
  <si>
    <t>LIMPEZA FINAL DE OBRA</t>
  </si>
  <si>
    <t>1.4</t>
  </si>
  <si>
    <t>54.01.010</t>
  </si>
  <si>
    <t>REGULARIZAÇÃO E COMPACTAÇÃO MECANIZADA DE SUPERFÍCIE, SEM CONTROLE DO PROCTOR NORMAL</t>
  </si>
  <si>
    <t>m²</t>
  </si>
  <si>
    <t>2.3</t>
  </si>
  <si>
    <t>2.4</t>
  </si>
  <si>
    <t>2.5</t>
  </si>
  <si>
    <t>2.7</t>
  </si>
  <si>
    <t>2.8</t>
  </si>
  <si>
    <t>12.01.041</t>
  </si>
  <si>
    <t>10.01.040</t>
  </si>
  <si>
    <t>10.01.060</t>
  </si>
  <si>
    <t>09.01.020</t>
  </si>
  <si>
    <t>11.01.130</t>
  </si>
  <si>
    <t>BROCA EM CONCRETO ARMADO DIÂMETRO DE 25 CM - COMPLETA</t>
  </si>
  <si>
    <t>ARMADURA EM BARRA DE AÇO CA-50 (A OU B) FYK = 500 MPA</t>
  </si>
  <si>
    <t>ARMADURA EM BARRA DE AÇO CA-60 (A OU B) FYK = 600 MPA</t>
  </si>
  <si>
    <t>FORMA EM MADEIRA COMUM PARA FUNDAÇÃO</t>
  </si>
  <si>
    <t>CONCRETO USINADO, FCK = 25 MPA</t>
  </si>
  <si>
    <t>IMPERMEABILIZAÇÃO EM MANTA ASFÁLTICA COM ARMADURA, TIPO III-B, ESPESSURA DE 3 MM</t>
  </si>
  <si>
    <t>m</t>
  </si>
  <si>
    <t>m³</t>
  </si>
  <si>
    <t>17.02.120</t>
  </si>
  <si>
    <t>EMBOÇO COMUM</t>
  </si>
  <si>
    <t>17.02.220</t>
  </si>
  <si>
    <t>REBOCO</t>
  </si>
  <si>
    <t>17.02.020</t>
  </si>
  <si>
    <t xml:space="preserve">CHAPISCO </t>
  </si>
  <si>
    <t>PISO INTERNO E EXTERNO</t>
  </si>
  <si>
    <t xml:space="preserve">SERVIÇOS PRELIMINARES </t>
  </si>
  <si>
    <t>ARGAMASSA DE REGULARIZAÇÃO E/OU PROTEÇÃO</t>
  </si>
  <si>
    <t>19.01.062</t>
  </si>
  <si>
    <t>PEITORIL E/OU SOLEIRA EM GRANITO, ESPESSURA DE 2 CM E LARGURA ATÉ 20 CM, ACABAMENTO POLIDO</t>
  </si>
  <si>
    <t>10.0</t>
  </si>
  <si>
    <t>33.10.050</t>
  </si>
  <si>
    <t>TINTA ACRILÍCA EM MASSA, INCLUSIVE PREPARO</t>
  </si>
  <si>
    <t>cj</t>
  </si>
  <si>
    <t>14.20.010</t>
  </si>
  <si>
    <t>VERGAS, CONTRAVERGAS E PILARETES DE CONCRETO ARMADO</t>
  </si>
  <si>
    <t>DATA</t>
  </si>
  <si>
    <t>MUNICÍPIO DE SANTO EXPEDITO
AVENIDA BARÃO DO RIO BRANCO, 472, CEP: 19.190-000   SANTO EXPEDITO - SP
Fone (18) 3267-1121
CNPJ: 46.439.113/0001-99</t>
  </si>
  <si>
    <t>SANTO EXPEDITO - SP</t>
  </si>
  <si>
    <t>ITEM</t>
  </si>
  <si>
    <t>CÓDIGO</t>
  </si>
  <si>
    <t>DESCRIÇÃO DO SERVIÇO</t>
  </si>
  <si>
    <t>UNIDADE</t>
  </si>
  <si>
    <t>QUANTIDADE</t>
  </si>
  <si>
    <t>VALOR UNI. S/BDI</t>
  </si>
  <si>
    <t>VALOR UNI. C/BDI</t>
  </si>
  <si>
    <t>VALOR TOTAL</t>
  </si>
  <si>
    <t>LINEAR (m)</t>
  </si>
  <si>
    <t>LARGURA VIGA (m)</t>
  </si>
  <si>
    <t>ALTURA VIGA (m)</t>
  </si>
  <si>
    <t>TOTAL CONCRETO (m³)</t>
  </si>
  <si>
    <t>LADOS</t>
  </si>
  <si>
    <t>TOTAL MADEIRA (m³)</t>
  </si>
  <si>
    <t>ESCAVAÇÃO VALA BALDRAME</t>
  </si>
  <si>
    <t>LARGURA VALA (m)</t>
  </si>
  <si>
    <t>ALTURA VALA (m)</t>
  </si>
  <si>
    <t>TOTAL VALA (m³)</t>
  </si>
  <si>
    <t>CDHU</t>
  </si>
  <si>
    <t>ALTURA (m) - PÉ DIREITO</t>
  </si>
  <si>
    <t>COMPRIMENTO LINEAR</t>
  </si>
  <si>
    <t>ÁREA DE ALVENARIA</t>
  </si>
  <si>
    <t>ALTURA</t>
  </si>
  <si>
    <t>LARGURA</t>
  </si>
  <si>
    <t>JANELA VIDRO (1,50x1,00)</t>
  </si>
  <si>
    <t>09.01.030</t>
  </si>
  <si>
    <t>FORMA EM MADEIRA COMUM PARA ESTRUTURA</t>
  </si>
  <si>
    <t>14.04.200</t>
  </si>
  <si>
    <t>3.4</t>
  </si>
  <si>
    <t>18.11.042</t>
  </si>
  <si>
    <t>REVESTIMENTO EM PLACA CERÂMICA ESMALTADA DE 20X20 CM, TIPO MONOCOLOR, ASSENTADO E REJUNTADO COM ARGAMASSA INDUSTRIALIZADA</t>
  </si>
  <si>
    <t>46.02.060</t>
  </si>
  <si>
    <t>TUBO DE PVC RÍGIDO BRANCO PXB COM VIROLA E ANEL DE BORRACHA, LINHA ESGOTO SÉRIE NORMAL, DN= 75 MM, INCLUSIVE CONEXÕES</t>
  </si>
  <si>
    <t>BALDRAME CONCRETO L=12 cm</t>
  </si>
  <si>
    <t>ALVENARIA VEDAÇÃO - BLOCO 09x19x39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</si>
  <si>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</si>
  <si>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</si>
  <si>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7.2</t>
  </si>
  <si>
    <t>7.4</t>
  </si>
  <si>
    <t>7.5</t>
  </si>
  <si>
    <t>33.02.060</t>
  </si>
  <si>
    <t>MASSA CORRIDA Á BASE DE PVA</t>
  </si>
  <si>
    <t>INSTALAÇÕES ELÉTRICA</t>
  </si>
  <si>
    <t>INSTALAÇÕES HIDROSSANITÁRIAS</t>
  </si>
  <si>
    <t>IMPERMEABILIZAÇÃO L=12 cm</t>
  </si>
  <si>
    <t>ALTURA  (m)</t>
  </si>
  <si>
    <t>ALTURA (m)</t>
  </si>
  <si>
    <t xml:space="preserve"> </t>
  </si>
  <si>
    <t>TOTAL (m³)</t>
  </si>
  <si>
    <t xml:space="preserve">  </t>
  </si>
  <si>
    <t>BALDRAME</t>
  </si>
  <si>
    <t>TOTAL IMPERM. (m²)</t>
  </si>
  <si>
    <t>PORTA VIDRO (3,50x2,10)</t>
  </si>
  <si>
    <t>ÁREA TOTAL (m²)</t>
  </si>
  <si>
    <t>BASCULANTE (1,50x0,50)</t>
  </si>
  <si>
    <t>BASCULANTE (0,50x0,50)</t>
  </si>
  <si>
    <t>JANELA SANFONADA (1,60x1,00)</t>
  </si>
  <si>
    <t>JANELA COZINHA (2,00x1,00)</t>
  </si>
  <si>
    <t>PORTA ABRIR (0,80x2,10)</t>
  </si>
  <si>
    <t>TOTAL VÃO LIVRE (m²)</t>
  </si>
  <si>
    <t>VÃO LIVRE LAVAND. (0,80x2,10)</t>
  </si>
  <si>
    <t>TOTAL ALVENARIA (m²)  - BLOCO 09x19x39</t>
  </si>
  <si>
    <t>ALVENARIA PLATIBANDA - BLOCO 09x19x39</t>
  </si>
  <si>
    <t>SOLEIRA</t>
  </si>
  <si>
    <t>PEITORIL</t>
  </si>
  <si>
    <t>TOTAL PEITORIL E SOLEIRA</t>
  </si>
  <si>
    <t>ANTIGO DANIFICADO (m²)</t>
  </si>
  <si>
    <t>AMPLIAÇÃO (m²)</t>
  </si>
  <si>
    <t>PAREDE EXTERNA</t>
  </si>
  <si>
    <t>ALTURA + BEIRAL</t>
  </si>
  <si>
    <t>ÁREA BEIRAL - EM BAIXO</t>
  </si>
  <si>
    <t>DESCONTO VÃOS</t>
  </si>
  <si>
    <t>TOTAL PINTURA EXTERNA</t>
  </si>
  <si>
    <t>PAREDE INTERNA</t>
  </si>
  <si>
    <t xml:space="preserve">ALTURA </t>
  </si>
  <si>
    <t>ÁREA EXTERNA</t>
  </si>
  <si>
    <t>ÁREA INTERNA</t>
  </si>
  <si>
    <t>LAJE - EM BAIXO</t>
  </si>
  <si>
    <t>PINTURA</t>
  </si>
  <si>
    <t>PORTAS</t>
  </si>
  <si>
    <t>JANELAS</t>
  </si>
  <si>
    <t>LARGURA (m)</t>
  </si>
  <si>
    <t>VERGA E CONTRAVERGA</t>
  </si>
  <si>
    <t>FUNDAÇÃO</t>
  </si>
  <si>
    <t>2.2</t>
  </si>
  <si>
    <t>2.6</t>
  </si>
  <si>
    <t>3.5</t>
  </si>
  <si>
    <t>3.6</t>
  </si>
  <si>
    <t>3.7</t>
  </si>
  <si>
    <t>5.1</t>
  </si>
  <si>
    <t>6.0</t>
  </si>
  <si>
    <t>TOTAL MADEIRA (m²)</t>
  </si>
  <si>
    <t>SUPERESTRUTURA E ALVENARIA</t>
  </si>
  <si>
    <t>2.9</t>
  </si>
  <si>
    <t>-</t>
  </si>
  <si>
    <t>EMBASAMENTO L=14 cm</t>
  </si>
  <si>
    <t>P1</t>
  </si>
  <si>
    <t>P2</t>
  </si>
  <si>
    <t>P3</t>
  </si>
  <si>
    <t>VÃOS DESCONTADOS</t>
  </si>
  <si>
    <t>J1</t>
  </si>
  <si>
    <t>J2</t>
  </si>
  <si>
    <t>TOTAL</t>
  </si>
  <si>
    <t>14.04.210</t>
  </si>
  <si>
    <t>ALVENARIA DE BLOCO CERÂMICO DE VEDAÇÃO, USO REVESTIDO, DE 14 CM</t>
  </si>
  <si>
    <t>5.2</t>
  </si>
  <si>
    <t>6.1</t>
  </si>
  <si>
    <t>15.03.030</t>
  </si>
  <si>
    <t>6.3</t>
  </si>
  <si>
    <t>6.4</t>
  </si>
  <si>
    <t>6.5</t>
  </si>
  <si>
    <t>TOTAL (m²)</t>
  </si>
  <si>
    <t>REBO. INT.</t>
  </si>
  <si>
    <t>EMBOÇO</t>
  </si>
  <si>
    <t>CHAPISCO</t>
  </si>
  <si>
    <t>TETO (m²)</t>
  </si>
  <si>
    <t>REVESTIMENTO EXTERNO</t>
  </si>
  <si>
    <t>9.0</t>
  </si>
  <si>
    <t>11.0</t>
  </si>
  <si>
    <t>12.0</t>
  </si>
  <si>
    <t>BALDRAME CONCRETO L=19 cm</t>
  </si>
  <si>
    <t>BALDRAME MADEIRA L= 19 cm</t>
  </si>
  <si>
    <t>BALDRAME MADEIRA L= 12 cm</t>
  </si>
  <si>
    <t>ALVENARIA VEDAÇÃO - BLOCO 19x19x39</t>
  </si>
  <si>
    <t>P4</t>
  </si>
  <si>
    <t>IMPERMEABILIZAÇÃO L=19 cm</t>
  </si>
  <si>
    <t>REVESTIMENTO CERAMICO INTERNO</t>
  </si>
  <si>
    <t>HIDRO</t>
  </si>
  <si>
    <t>WC P.N.E</t>
  </si>
  <si>
    <t>WC 01</t>
  </si>
  <si>
    <t>WC 02</t>
  </si>
  <si>
    <t>COPA</t>
  </si>
  <si>
    <t>PISO (m²)</t>
  </si>
  <si>
    <t>DEPOSITO</t>
  </si>
  <si>
    <t>RECEPÇÃO</t>
  </si>
  <si>
    <t>HIDROTERAPIA</t>
  </si>
  <si>
    <t>VÃOS</t>
  </si>
  <si>
    <t>WC PNE</t>
  </si>
  <si>
    <t>PLATIBANDA INTERNA</t>
  </si>
  <si>
    <t>7.3</t>
  </si>
  <si>
    <t>3.8</t>
  </si>
  <si>
    <t>4.5</t>
  </si>
  <si>
    <t>6.6</t>
  </si>
  <si>
    <t>9.1</t>
  </si>
  <si>
    <t>13.0</t>
  </si>
  <si>
    <t>PILARES</t>
  </si>
  <si>
    <t>1/4"</t>
  </si>
  <si>
    <t>5/16"</t>
  </si>
  <si>
    <t>3/8"</t>
  </si>
  <si>
    <t>1/2"</t>
  </si>
  <si>
    <t>5/8"</t>
  </si>
  <si>
    <t>3/4"</t>
  </si>
  <si>
    <t>1"</t>
  </si>
  <si>
    <t>BITOLA (pol.)</t>
  </si>
  <si>
    <t>BITOLA (mm)</t>
  </si>
  <si>
    <t>PESO BARRA (kg)</t>
  </si>
  <si>
    <t>PESO BARRA (kg/m)</t>
  </si>
  <si>
    <t>3/16"</t>
  </si>
  <si>
    <t>FERRO (kg)</t>
  </si>
  <si>
    <t>ESTRIBO (kg)</t>
  </si>
  <si>
    <t>CONCRETO (m³)</t>
  </si>
  <si>
    <t>VIGAS</t>
  </si>
  <si>
    <t>L (m)</t>
  </si>
  <si>
    <t>H (m)</t>
  </si>
  <si>
    <t>IMPERMEABILIZAÇÃO L=14 cm</t>
  </si>
  <si>
    <t>ALVENARIA MURO - BLOCO 14x19x39</t>
  </si>
  <si>
    <t>FORMAS (m²)</t>
  </si>
  <si>
    <t>RODAPÉ EM PORCELANATO ESMALTADO ACETINADO PARA ÁREA INTERNA E AMBIENTE COM ACESSO AO EXTERIOR, GRUPO DE ABSORÇÃO BIA, RESISTÊNCIA QUÍMICA B, ASSENTADO COM ARGAMASSA COLANTE INDUSTRIALIZADA, REJUNTADO</t>
  </si>
  <si>
    <t>18.08.100</t>
  </si>
  <si>
    <t>TELHAMENTO EM CHAPA DE AÇO COM PINTURA POLIÉSTER, TIPO SANDUÍCHE, ESPESSURA DE 0,50 MM, COM POLIESTIRENO EXPANDIDO</t>
  </si>
  <si>
    <t>16.13.130</t>
  </si>
  <si>
    <t>14.0</t>
  </si>
  <si>
    <t>PISCINA</t>
  </si>
  <si>
    <t>UN</t>
  </si>
  <si>
    <t>CAIXILHO EM ALUMÍNIO MAXIM‐AR COM VIDRO, LINHA COMERCIAL</t>
  </si>
  <si>
    <t>25.01.050</t>
  </si>
  <si>
    <t>CDHU - Vs 191 - S/ DES.</t>
  </si>
  <si>
    <t>15.0</t>
  </si>
  <si>
    <t>45.01.020</t>
  </si>
  <si>
    <t>ENTRADA COMPLETA DE ÁGUA COM ABRIGO E REGISTRO DE GAVETA, DN = 3/4'</t>
  </si>
  <si>
    <t>46.01.020</t>
  </si>
  <si>
    <t>46.01.030</t>
  </si>
  <si>
    <t>46.01.050</t>
  </si>
  <si>
    <t>TUBO DE PVC RÍGIDO SOLDÁVEL MARROM, DN= 25 MM, (3/4´), INCLUSIVE CONEXÕES</t>
  </si>
  <si>
    <t>TUBO DE PVC RÍGIDO SOLDÁVEL MARROM, DN= 32 MM, (1´), INCLUSIVE CONEXÕES</t>
  </si>
  <si>
    <t>TUBO DE PVC RÍGIDO SOLDÁVEL MARROM, DN= 50 MM, (1 1/2´), INCLUSIVE CONEXÕES</t>
  </si>
  <si>
    <t>46.02.010</t>
  </si>
  <si>
    <t>46.02.050</t>
  </si>
  <si>
    <t>46.02.070</t>
  </si>
  <si>
    <t>TUBO DE PVC RÍGIDO BRANCO, PONTAS LISAS, SOLDÁVEL, LINHA ESGOTO SÉRIE NORMAL, DN= 40 MM, INCLUSIVE CONEXÕES</t>
  </si>
  <si>
    <t>TUBO DE PVC RÍGIDO BRANCO PXB COM VIROLA E ANEL DE BORRACHA, LINHA ESGOTO SÉRIE NORMAL, DN= 50 MM, INCLUSIVE CONEXÕES</t>
  </si>
  <si>
    <t>TUBO DE PVC RÍGIDO BRANCO PXB COM VIROLA E ANEL DE BORRACHA, LINHA ESGOTO SÉRIE NORMAL, DN= 100 MM, INCLUSIVE CONEXÕES</t>
  </si>
  <si>
    <t>48.02.401</t>
  </si>
  <si>
    <t>RESERVATÓRIO EM POLIETILENO COM TAMPA DE ROSCA ‐ CAPACIDADE DE 500 LITROS</t>
  </si>
  <si>
    <t>44.01.270</t>
  </si>
  <si>
    <t>CUBA DE LOUÇA DE EMBUTIR OVAL</t>
  </si>
  <si>
    <t>44.01.800</t>
  </si>
  <si>
    <t>BACIA SIFONADA COM CAIXA DE DESCARGA ACOPLADA SEM TAMPA - 6 LITROS</t>
  </si>
  <si>
    <t>44.02.062</t>
  </si>
  <si>
    <t>TAMPO/BANCADA EM GRANITO, COM FRONTÃO, ESPESSURA DE 2 CM, ACABAMENTO POLIDO</t>
  </si>
  <si>
    <t>DISPENSER TOALHEIRO METÁLICO ESMALTADO PARA BOBINA DE 25CM X 50M, SEM ALAVANCA</t>
  </si>
  <si>
    <t>44.03.030</t>
  </si>
  <si>
    <t>DISPENSER PAPEL HIGIÊNICO EM ABS PARA ROLÃO 300 / 600 M, COM VISOR</t>
  </si>
  <si>
    <t>44.03.050</t>
  </si>
  <si>
    <t>SABONETEIRA TIPO DISPENSER, PARA REFIL DE 800 ML</t>
  </si>
  <si>
    <t>44.03.130</t>
  </si>
  <si>
    <t>SABONETEIRA DE LOUÇA DE EMBUTIR</t>
  </si>
  <si>
    <t>44.03.040</t>
  </si>
  <si>
    <t>CABIDE CROMADO PARA BANHEIRO</t>
  </si>
  <si>
    <t>44.03.090</t>
  </si>
  <si>
    <t>44.03.400</t>
  </si>
  <si>
    <t>TORNEIRA CURTA COM ROSCA PARA USO GERAL, EM LATÃO FUNDIDO CROMADO, DN= 3/4´</t>
  </si>
  <si>
    <t xml:space="preserve">PRATELEIRA EM GRANILITE </t>
  </si>
  <si>
    <t>44.04.040</t>
  </si>
  <si>
    <t>44.06.300</t>
  </si>
  <si>
    <t>CUBA EM AÇO INOXIDÁVEL SIMPLES DE 400X340X140 MM</t>
  </si>
  <si>
    <t>44.20.110</t>
  </si>
  <si>
    <t>44.20.010</t>
  </si>
  <si>
    <t>SIFÃO PLÁSTICO SANFONADO UNIVERSAL DE 1'</t>
  </si>
  <si>
    <t>ENGATE FLEXÍVEL DE PVC DN = 1/2'</t>
  </si>
  <si>
    <t>44.20.280</t>
  </si>
  <si>
    <t>TAMPA DE PLÁSTICO PARA BÁCIA SANITÁRIA</t>
  </si>
  <si>
    <t>44.20.650</t>
  </si>
  <si>
    <t>VÁLVULA DE METAL CROMADO DE 1'</t>
  </si>
  <si>
    <t>REGISTRO DE GAVETA EM LATÃO FUNDIDO CROMADO COM CANOPLA, DN= 3/4´ ‐ LINHA ESPECIAL</t>
  </si>
  <si>
    <t>47.02.020</t>
  </si>
  <si>
    <t>REGISTRO DE PRESSÃO EM LATÃO FUNDIDO CROMADO COM CANOPLA, DN= 3/4´ ‐ LINHA ESPECIAL</t>
  </si>
  <si>
    <t>47.02.110</t>
  </si>
  <si>
    <t>CAIXA SIFONADA DE PVC RÍGIDO DE 100 X 150 X 50 MM, COM GRELHA</t>
  </si>
  <si>
    <t>49.01.020</t>
  </si>
  <si>
    <t>RALO SECO EM PVC RÍGIDO DE 100X40 MM, COM GRELHA</t>
  </si>
  <si>
    <t>EMBASAMENTO L=19 cm</t>
  </si>
  <si>
    <t>TOTAL EMBAS. (m³)</t>
  </si>
  <si>
    <t>11.16.060</t>
  </si>
  <si>
    <t>LANÇAMENTO E ADENSAMENTO DE CONCRETO OU MASSA EM ESTRUTURA</t>
  </si>
  <si>
    <t>REVESTIMENTO E DIVISÓRIAS</t>
  </si>
  <si>
    <t>DIVISÓRIA EM PLACAS DE GESSO ACARTONADO, RESISTÊNCIA AO FOGO 30 MINUTOS, ESPESSURA 100/70MM ‐ 1ST / 1ST LM</t>
  </si>
  <si>
    <t>5.5</t>
  </si>
  <si>
    <t>14.30.300</t>
  </si>
  <si>
    <t>DIVISÓRIA EM GESSO</t>
  </si>
  <si>
    <t>ÁREA SECA</t>
  </si>
  <si>
    <t>ÁREA UMIDA</t>
  </si>
  <si>
    <t>FISIO</t>
  </si>
  <si>
    <t>TOTAL PISO (m²)</t>
  </si>
  <si>
    <t>TOTAL RODAPÉ (m²)</t>
  </si>
  <si>
    <t>TOTAL PAREDE (m²)</t>
  </si>
  <si>
    <t>7.6</t>
  </si>
  <si>
    <t>FORRO EM PAINÉIS DE GESSO ACARTONADO, ESPESSURA DE 12,5MM, FIXO</t>
  </si>
  <si>
    <t>22.02.030</t>
  </si>
  <si>
    <t>13.1</t>
  </si>
  <si>
    <t>37.03.230</t>
  </si>
  <si>
    <t>37.13.660</t>
  </si>
  <si>
    <t>37.13.630</t>
  </si>
  <si>
    <t>37.13.600</t>
  </si>
  <si>
    <t>38.01.140</t>
  </si>
  <si>
    <t>38.21.120</t>
  </si>
  <si>
    <t>40.05.020</t>
  </si>
  <si>
    <t>40.04.450</t>
  </si>
  <si>
    <t>40.04.460</t>
  </si>
  <si>
    <t>39.26.010</t>
  </si>
  <si>
    <t>39.26.020</t>
  </si>
  <si>
    <t>39.26.040</t>
  </si>
  <si>
    <t>38.01.040</t>
  </si>
  <si>
    <t>39.10.200</t>
  </si>
  <si>
    <t>39.20.005</t>
  </si>
  <si>
    <t>9.2</t>
  </si>
  <si>
    <t>9.6</t>
  </si>
  <si>
    <t>9.3</t>
  </si>
  <si>
    <t>9.4</t>
  </si>
  <si>
    <t>9.5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</si>
  <si>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</si>
  <si>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</si>
  <si>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</si>
  <si>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</si>
  <si>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</si>
  <si>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</si>
  <si>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</si>
  <si>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</si>
  <si>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</si>
  <si>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</si>
  <si>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</si>
  <si>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</si>
  <si>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</si>
  <si>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</si>
  <si>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12.1</t>
  </si>
  <si>
    <t>12.2</t>
  </si>
  <si>
    <t>12.3</t>
  </si>
  <si>
    <t>10.1</t>
  </si>
  <si>
    <t>10.2</t>
  </si>
  <si>
    <t>10.3</t>
  </si>
  <si>
    <t>10.4</t>
  </si>
  <si>
    <t>10.5</t>
  </si>
  <si>
    <t>10.10</t>
  </si>
  <si>
    <t>10.6</t>
  </si>
  <si>
    <t>10.7</t>
  </si>
  <si>
    <t>10.8</t>
  </si>
  <si>
    <t>10.9</t>
  </si>
  <si>
    <t>10.11</t>
  </si>
  <si>
    <t>10.12</t>
  </si>
  <si>
    <t>10.13</t>
  </si>
  <si>
    <t>10.14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</si>
  <si>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</si>
  <si>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</si>
  <si>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</si>
  <si>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</si>
  <si>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</si>
  <si>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</si>
  <si>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</si>
  <si>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</si>
  <si>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</si>
  <si>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</si>
  <si>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</si>
  <si>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</si>
  <si>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</si>
  <si>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49.05.020</t>
  </si>
  <si>
    <t>24.20.230</t>
  </si>
  <si>
    <t>14.1</t>
  </si>
  <si>
    <t>DISJUNTOR TERMOMAGNÉTICO, TRIPOLAR 220/380 V, CORRENTE DE 60 A ATÉ 100 A</t>
  </si>
  <si>
    <t>DISJUNTOR TERMOMAGNÉTICO, BIPOLAR 220/380 V, CORRENTE DE 10 A ATÉ 50 A</t>
  </si>
  <si>
    <t>DISJUNTOR TERMOMAGNÉTICO, UNIPOLAR 127/220 V, CORRENTE DE 10 A ATÉ 30 A</t>
  </si>
  <si>
    <t>ELETRODUTO DE PVC RÍGIDO ROSCÁVEL DE 2 1/2´ - COM ACESSÓRIOS</t>
  </si>
  <si>
    <t>ELETROCALHA LISA GALVANIZADA A FOGO, 100 X 50 MM, COM ACESSÓRIOS</t>
  </si>
  <si>
    <t>INTERRUPTOR COM 1 TECLA SIMPLES E PLACA</t>
  </si>
  <si>
    <t>TERMINAL DE PRESSÃO/COMPRESSÃO PARA CABO DE 70 MM²</t>
  </si>
  <si>
    <t>QUADRO DE DISTRIBUIÇÃO UNIVERSAL DE EMBUTIR, PARA DISJUNTORES 44 DIN / 32 BOLTON ‐ 150 A ‐ SEM COMPONENTES</t>
  </si>
  <si>
    <t>TOMADA 2P+T DE 10 A ‐ 250 V, COMPLETA</t>
  </si>
  <si>
    <t>TOMADA 2P+T DE 20 A ‐ 250 V, COMPLETA</t>
  </si>
  <si>
    <t>CABO DE COBRE FLEXÍVEL DE 1,5 MM², ISOLAMENTO 0,6/1 KV ‐ ISOLAÇÃO HEPR 90°C ‐ BAIXA EMISSÃO DE FUMAÇA E GASES</t>
  </si>
  <si>
    <t>CABO DE COBRE FLEXÍVEL DE 2,5 MM², ISOLAMENTO 0,6/1 KV ‐ ISOLAÇÃO HEPR 90°C ‐ BAIXA EMISSÃO DE FUMAÇA E GASES</t>
  </si>
  <si>
    <t>CABO DE COBRE FLEXÍVEL DE 6 MM², ISOLAMENTO 0,6/1 KV ‐ ISOLAÇÃO HEPR 90°C ‐ BAIXA EMISSÃO DE FUMAÇA E GASES</t>
  </si>
  <si>
    <t>ELETRODUTO DE PVC RÍGIDO ROSCÁVEL DE 3/4´ ‐ COM ACESSÓRIOS</t>
  </si>
  <si>
    <t>CONECTOR PRENSA‐CABO DE 3/4´</t>
  </si>
  <si>
    <t>PISO COM REQUADRO EM CONCRETO SIMPLES SEM CONTROLE DE FCK</t>
  </si>
  <si>
    <t>17.05.020</t>
  </si>
  <si>
    <t>REFERÊNCIA</t>
  </si>
  <si>
    <t>DESCRIÇÃO</t>
  </si>
  <si>
    <t xml:space="preserve">COEFICIENTE </t>
  </si>
  <si>
    <t>CUSTO</t>
  </si>
  <si>
    <t>ENCARGOS SOCIAIS</t>
  </si>
  <si>
    <t>VALOR TOTAL DO ITEM</t>
  </si>
  <si>
    <t>54.03.230</t>
  </si>
  <si>
    <t>IMPRIMIÇÃO BETUMINOSA LIGANTE</t>
  </si>
  <si>
    <t>M2</t>
  </si>
  <si>
    <t>B.01.000.010146</t>
  </si>
  <si>
    <t>F.03.000.024704</t>
  </si>
  <si>
    <t>S.01.000.080312</t>
  </si>
  <si>
    <t>SERVENTE</t>
  </si>
  <si>
    <t>H</t>
  </si>
  <si>
    <t>KG</t>
  </si>
  <si>
    <t>EMULSÃO RR-1-C</t>
  </si>
  <si>
    <t>CAMINHÃO ESPAGIDOR, CAPACIDADE DE 6.000 LITROS - COND. D</t>
  </si>
  <si>
    <t>ITEM 1.3.1</t>
  </si>
  <si>
    <t>ITEM 1.3.2</t>
  </si>
  <si>
    <t>VARRIÇÃO DE PAVIMENTO PARA RECAPEAMENTO</t>
  </si>
  <si>
    <t>54.01.410</t>
  </si>
  <si>
    <t>RUA HENRIQUE DIAS, Nº 273, BAIRRO: CENTRO</t>
  </si>
  <si>
    <t>10.02.020</t>
  </si>
  <si>
    <t>ARMADURA EM TELA SOLDADA EM AÇO</t>
  </si>
  <si>
    <t>BALDRAME MURO</t>
  </si>
  <si>
    <t>MURO EXTERNO</t>
  </si>
  <si>
    <t>RODAPÉ</t>
  </si>
  <si>
    <t>LINEAR</t>
  </si>
  <si>
    <t>DESCONTO</t>
  </si>
  <si>
    <t>6.2</t>
  </si>
  <si>
    <t>44.03.315</t>
  </si>
  <si>
    <t>TORNEIRA DE MESA COM BICA MÓVEL E ALAVANCA</t>
  </si>
  <si>
    <t>44.03.590</t>
  </si>
  <si>
    <t>TORNEIRA DE MESA PARA PIA COM BICA MÓVEL E AREJADOR EM LATÃO FUNDIDO CROMADO</t>
  </si>
  <si>
    <t>06.02.040</t>
  </si>
  <si>
    <t>ESCAVAÇÃO MANUAL EM SOLO DE 1ª e 2ª CATEGORIA EM VALA OU CAVA ALÉM DE 1,50 M</t>
  </si>
  <si>
    <t xml:space="preserve">RALO SECO EM FERRO FUNDIDO, 100 X 165 X 50 MM, COM GRELHA METÁLICA SAÍDA VERTICAL </t>
  </si>
  <si>
    <t>49.06.020</t>
  </si>
  <si>
    <t>GRELHA EM FERRO FUNDIDO PARA CAIXAS E CANALETAS</t>
  </si>
  <si>
    <t>ALVENARIA DE BLOCO CERÂMICO DE VEDAÇÃO DE 9 CM</t>
  </si>
  <si>
    <t>ESCAVAÇÃO MANUAL EM SOLO DE 1ª E 2ª CATEGORIA EM VALA OU CAVA ATÉ 1,5 M</t>
  </si>
  <si>
    <t>CONCRETO PREPARADO NO LOCAL, FCK = 20 MPA</t>
  </si>
  <si>
    <t>VESTIÁRIO/WC PNE</t>
  </si>
  <si>
    <t>VESTIÁRIO/WC</t>
  </si>
  <si>
    <t>WC FISIO</t>
  </si>
  <si>
    <t>WC PNE CENTRO ESPEC.</t>
  </si>
  <si>
    <t>ÁREA DESCONTAR (m²)</t>
  </si>
  <si>
    <t>ÁREA (m)²</t>
  </si>
  <si>
    <t>ÁREA REAL (m²)</t>
  </si>
  <si>
    <t>AMBIENTE</t>
  </si>
  <si>
    <t>REVESTIMENTO CERÂMICO NAS PAREDES</t>
  </si>
  <si>
    <t>LINEAR RODAPÉ TOTAL (m)</t>
  </si>
  <si>
    <t>ÁREA REVESTIMENTO CERÂMICO TOTAL (m²)</t>
  </si>
  <si>
    <t>DESCONTAR (m)</t>
  </si>
  <si>
    <t>LINEAR REAL (m)</t>
  </si>
  <si>
    <t>DEPÓSITO</t>
  </si>
  <si>
    <t>FISIOTERAPIA</t>
  </si>
  <si>
    <t>RECEPÇÃO/CIRCULAÇÃO CENTRO ESPEC.</t>
  </si>
  <si>
    <t>SALA 1</t>
  </si>
  <si>
    <t>SALA 2</t>
  </si>
  <si>
    <t>DIVISÓRIAS</t>
  </si>
  <si>
    <t>DIVISÓRIAS DRYWALL 1 ST / 1 ST  LM (SECO)</t>
  </si>
  <si>
    <t>DIVISÓRIAS DRYWALL 1 RU / 1 RU (MOLHADO)</t>
  </si>
  <si>
    <t>24.08.031</t>
  </si>
  <si>
    <t>CORRIMÃO EM TUBO DE AÇO INOXIDÁVEL ESCOVADO, DIÂMETRO DE 1 1/2"</t>
  </si>
  <si>
    <t>25.02.050</t>
  </si>
  <si>
    <t>PORTA VENEZIANA DE ABRIR EM ALUMINÍO, LINHA COMERCIAL</t>
  </si>
  <si>
    <t>26.02.040</t>
  </si>
  <si>
    <t xml:space="preserve">VIDRO TEMPERADO INCOLOR DE 8 MM </t>
  </si>
  <si>
    <t>PINTURA - PAREDES EXTERNAS</t>
  </si>
  <si>
    <t>LATERAL ESQUERDA</t>
  </si>
  <si>
    <t>FACHADA</t>
  </si>
  <si>
    <t>LATERAL DIREITA</t>
  </si>
  <si>
    <t>ENTRADA CENTRO</t>
  </si>
  <si>
    <t>PLATIBANDA PARTE INTERNA</t>
  </si>
  <si>
    <t>CHAPISCO E EMBOÇO - PAREDES EXTERNAS</t>
  </si>
  <si>
    <t>REBOCO - PAREDES EXTERNAS</t>
  </si>
  <si>
    <t>ÁREA CHAPISCO E EMBOÇO TOTAL (m²)</t>
  </si>
  <si>
    <t>ÁREA REBOCO TOTAL (m²)</t>
  </si>
  <si>
    <t>33.07.140</t>
  </si>
  <si>
    <t>PINTURA COM ESMALTE ALQUÍDICO EM ESTRUTURA METÁLICA</t>
  </si>
  <si>
    <t>8.2</t>
  </si>
  <si>
    <t>8.3</t>
  </si>
  <si>
    <t>8.4</t>
  </si>
  <si>
    <t>8.5</t>
  </si>
  <si>
    <t>8.6</t>
  </si>
  <si>
    <t>8.7</t>
  </si>
  <si>
    <t>8.8</t>
  </si>
  <si>
    <t>8.9</t>
  </si>
  <si>
    <t>REBOCO - PAREDES INTERNAS</t>
  </si>
  <si>
    <t>PINTURA - PAREDES INTERNAS E FORRO DE GESSO</t>
  </si>
  <si>
    <t>FORRO HIDROTERAPIA</t>
  </si>
  <si>
    <t>FORRO WC PNE</t>
  </si>
  <si>
    <t>FORRO WC</t>
  </si>
  <si>
    <t>FORRO RECEPÇÃO</t>
  </si>
  <si>
    <t>FORRO FISIOTERAPIA</t>
  </si>
  <si>
    <t>FORRO DEPÓSITO</t>
  </si>
  <si>
    <t>FORRO COPA</t>
  </si>
  <si>
    <t>FORRO WC FISIOTERAPIA</t>
  </si>
  <si>
    <t>FORRO SALA 2</t>
  </si>
  <si>
    <t>FORRO SALA 1</t>
  </si>
  <si>
    <t>FORRO RECEPÇÃO / HALL</t>
  </si>
  <si>
    <t>FORRO WC CENTRO</t>
  </si>
  <si>
    <t>FORRO VESTIÁRIO WC PNE</t>
  </si>
  <si>
    <t>FORRO VESTIÁRIO WC</t>
  </si>
  <si>
    <t>RECEPÇÃO / HALL</t>
  </si>
  <si>
    <t>13.2</t>
  </si>
  <si>
    <t>13.3</t>
  </si>
  <si>
    <t>PAREDES H = 5,00 M</t>
  </si>
  <si>
    <t>PAREDES H = 4,20 M</t>
  </si>
  <si>
    <t>PAREDES H = 3,50 M</t>
  </si>
  <si>
    <t>ÁREA CHAPISCO E EMBOÇO TOTAL - INTERNO E EXTERNO (m²)</t>
  </si>
  <si>
    <t>ÁREA PINTURA TOTAL - EXTERNA (m²)</t>
  </si>
  <si>
    <t>ÁREA PINTURA TOTAL - INTERNA (m²)</t>
  </si>
  <si>
    <t>ÁREA REBOCO TOTAL - INTERNO E EXTERNO (m²)</t>
  </si>
  <si>
    <t>5.6</t>
  </si>
  <si>
    <t>PAREDES TIJOLO 19 CM</t>
  </si>
  <si>
    <t>PAREDES TIJOLO 9 CM</t>
  </si>
  <si>
    <t>PAREDES H = 5,50 M</t>
  </si>
  <si>
    <t>PAREDES H = 0,70 M</t>
  </si>
  <si>
    <t>PLATIBANDA H = 1,00M</t>
  </si>
  <si>
    <t>PAREDES H = 4,50 M</t>
  </si>
  <si>
    <t>PAREDES H = 3,8 M</t>
  </si>
  <si>
    <t>LOUÇAS, BANCADAS E METAIS</t>
  </si>
  <si>
    <t>LIMPEZA FINAL DA OBRA</t>
  </si>
  <si>
    <t>CONSTRUÇÃO DE HIDROTERAPIA, FISIOTERAPIA E CENTRO DE ESPECIALIDADES NO MUNICÍPIO DE SANTO EXPEDITO</t>
  </si>
  <si>
    <t>SINAPI</t>
  </si>
  <si>
    <t>SINAPI - S/ DES.</t>
  </si>
  <si>
    <t>49.04.010</t>
  </si>
  <si>
    <t>11.03.090</t>
  </si>
  <si>
    <t>TELA ONDULADA EM AÇO GALVANIZADO FIO 10 BWG, MALHA DE 1'</t>
  </si>
  <si>
    <t>CALÇADA EXTERNA E FACHADA</t>
  </si>
  <si>
    <t>ITENS</t>
  </si>
  <si>
    <t>PERCENTUAL (%)</t>
  </si>
  <si>
    <t>ADMINISTRAÇÃO CENTRAL</t>
  </si>
  <si>
    <t>SEGUROS + GARANTIAS</t>
  </si>
  <si>
    <t>RISCOS</t>
  </si>
  <si>
    <t>DESPESAS FINANCEIRAS</t>
  </si>
  <si>
    <t>LUCROS</t>
  </si>
  <si>
    <t>IMPOSTOS</t>
  </si>
  <si>
    <t xml:space="preserve">PIS </t>
  </si>
  <si>
    <t xml:space="preserve">COFINS </t>
  </si>
  <si>
    <t>ISS</t>
  </si>
  <si>
    <t>CONTRIBUIÇÃO PREVIDENCIÁRIA (INSS)</t>
  </si>
  <si>
    <t>AC</t>
  </si>
  <si>
    <t>SG</t>
  </si>
  <si>
    <t>DF</t>
  </si>
  <si>
    <t>R</t>
  </si>
  <si>
    <t>L</t>
  </si>
  <si>
    <t>I</t>
  </si>
  <si>
    <t>TAXA DO BDI</t>
  </si>
  <si>
    <t>COMPOSIÇÃO DO BDI ( ACÓRDÃO 2622/2013 - TCU -PLENÁRIO)</t>
  </si>
  <si>
    <t>CABO DE COBRE FLEXÍVEL DE 120 MM², ISOLAMENTO 0,6/1 KV ‐ ISOLAÇÃO HEPR 90°C ‐ BAIXA EMISSÃO DE FUMAÇA E GASES</t>
  </si>
  <si>
    <t>38.01.180</t>
  </si>
  <si>
    <t>ELETRODUTO DE PVC RÍGIDO ROSCÁVEL DE 4´ - COM ACESSÓRIOS</t>
  </si>
  <si>
    <t>11.14</t>
  </si>
  <si>
    <t>30.01.010</t>
  </si>
  <si>
    <t xml:space="preserve">BARRA DE APOIO RETA, PARA PESSOAS COM MOBILIDADE REDUZIDA, EM TUBO DE AÇO INOXIDÁVEL DE 1 1/2' </t>
  </si>
  <si>
    <t>M</t>
  </si>
  <si>
    <t>LUMINÁRIA TIPO PLAFON CIRCULAR, DE SOBREPOR, COM LED DE 12/13 W - FORNECIMENTO E INSTALAÇÃO. AF_03/2022</t>
  </si>
  <si>
    <t>RESPONSÁVEL TÉCNICO</t>
  </si>
  <si>
    <t>DE ACORDO</t>
  </si>
  <si>
    <t>PREFEITO MUNICIPAL</t>
  </si>
  <si>
    <t>_________________________________________</t>
  </si>
  <si>
    <t>ANDERSON JOSÉ BETIO</t>
  </si>
  <si>
    <t>AFONSO HIGA DE SOUZA - ENGENHEIRO CIVIL</t>
  </si>
  <si>
    <t>CREA/SP- 5070022687</t>
  </si>
  <si>
    <t>CHAPISCO E EMBOÇO - PAREDES INTERNAS</t>
  </si>
  <si>
    <t>SERVIÇOS</t>
  </si>
  <si>
    <t>30 DIAS</t>
  </si>
  <si>
    <t>60 DIAS</t>
  </si>
  <si>
    <t>90 DIAS</t>
  </si>
  <si>
    <t>120 DIAS</t>
  </si>
  <si>
    <t>150 DIAS</t>
  </si>
  <si>
    <t>180 DIAS</t>
  </si>
  <si>
    <t>210 DIAS</t>
  </si>
  <si>
    <t>240 DIAS</t>
  </si>
  <si>
    <t>270 DIAS</t>
  </si>
  <si>
    <t>300 DIAS</t>
  </si>
  <si>
    <t>1ª ETAPA</t>
  </si>
  <si>
    <t>2ª ETAPA</t>
  </si>
  <si>
    <t>3ª ETAPA</t>
  </si>
  <si>
    <t>4ª ETAPA</t>
  </si>
  <si>
    <t>5ª ETAPA</t>
  </si>
  <si>
    <t>6ª ETAPA</t>
  </si>
  <si>
    <t>7ª ETAPA</t>
  </si>
  <si>
    <t>8ª ETAPA</t>
  </si>
  <si>
    <t>9ª ETAPA</t>
  </si>
  <si>
    <t>10ª ETAPA</t>
  </si>
  <si>
    <t>TOTAL POR ETAPA</t>
  </si>
  <si>
    <t>CRONOGRAMA FÍSICO  - FINANCEIRO / PLANILHA DE DESEMBOLSO</t>
  </si>
  <si>
    <t>RECURSO EMENDA IMPOSITIVA</t>
  </si>
  <si>
    <t>RECURSO PRÓPRIO</t>
  </si>
  <si>
    <t>VALOR TOTAL DE RECURSO</t>
  </si>
  <si>
    <t>CDHU - Vs 200 - S/ DES.</t>
  </si>
  <si>
    <t>39.26.120</t>
  </si>
  <si>
    <t>ALVENARIA DE BLOCO CERÂMICO DE VEDAÇÃO DE 14 CM</t>
  </si>
  <si>
    <t>LAJE PRÉ-FABRICADA MISTA VIGOTA TRELIÇADA/LAJOTA CERÂMICA - LT 16 (12+4) E CAPA COM CONCRETO DE 25 MPA</t>
  </si>
  <si>
    <t>13.01.150</t>
  </si>
  <si>
    <t>FORNECIMENTO E MONTAGEM DE ESTRUTURA EM AÇO ASTM-A36, SEM PINTURA</t>
  </si>
  <si>
    <t>TELHAMENTO EM CHAPA DE AÇO PRÉ-PINTADA, PERFIL ONDULADO, COM ESPESSURA DE 0,50MM</t>
  </si>
  <si>
    <t>16.12.020</t>
  </si>
  <si>
    <t>CALÇADA EXTERNA</t>
  </si>
  <si>
    <t>PLACA CERÂMICA ESMALTADA PEI-4 PARA ÁREA INTERNA COM SAÍDA PARA O EXTERIOR, GRUPO DE ABSORÇÃO BIIB, TRÁFEGO MÉDIO, ASSENTADO COM ARGAMASSA COLANTE INDUSTRIALIZADA</t>
  </si>
  <si>
    <t>18.06.152</t>
  </si>
  <si>
    <t>25.01.080</t>
  </si>
  <si>
    <t>CAIXILHO EM ALUMÍNIO DE CORRER COM VIDRO, SOB MEDIDA</t>
  </si>
  <si>
    <t>43.10.620</t>
  </si>
  <si>
    <t>CONJUNTO MOTOR-BOMBA (CENTRÍFUGA), 0,5 CV, MONOESTÁGIO, HMAN= 10 A 20 MCA, Q= 7,5 A 1,5 M³/H</t>
  </si>
  <si>
    <t>UNI.</t>
  </si>
  <si>
    <t>43.12.500</t>
  </si>
  <si>
    <t>FILTRO DE AREIA COM CARGA DE AREIA FILTRANTE, VAZÃO DE 16,9 M³/H</t>
  </si>
  <si>
    <t>6.7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</si>
  <si>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</si>
  <si>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</si>
  <si>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</si>
  <si>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</si>
  <si>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</si>
  <si>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</si>
  <si>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</si>
  <si>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</si>
  <si>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</si>
  <si>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9.21</t>
  </si>
  <si>
    <t>9.22</t>
  </si>
  <si>
    <t>9.23</t>
  </si>
  <si>
    <t>9.24</t>
  </si>
  <si>
    <t>11.15</t>
  </si>
  <si>
    <t>11.16</t>
  </si>
  <si>
    <t>11.17</t>
  </si>
  <si>
    <t>11.18</t>
  </si>
  <si>
    <t>EMILIANÓPOLIS - SP, 19 DE MARÇO DE 2026</t>
  </si>
  <si>
    <t>ARQUITETA E URBANISTA</t>
  </si>
  <si>
    <t>JÉSSICA FERNANDES DA SILVA</t>
  </si>
  <si>
    <t>PREFEITURA MUNICIPAL DE EMILIANÓPOLIS
RUA PADRE CORNELIO KNUEBLER, 255, CENTRO
FONE (18) 3994 - 1165
CNPJ: 67.662.544/0001-90</t>
  </si>
  <si>
    <t>EMILIANÓPOLIS - SP</t>
  </si>
  <si>
    <t>AMPLIAÇÃO DA FISIOTERAPIA NA UNIDADE BÁSICA DE SAÚDE</t>
  </si>
  <si>
    <t>FORNECIMENTO E INSTALAÇÃO DE PLACA DE OBRA COM CHAPA GALVANIZADA E ESTRUTURA DE MADEIRA. AF 03/2022</t>
  </si>
  <si>
    <t>RUA JUCA DIAS, N.º 127, CENTRO</t>
  </si>
  <si>
    <t>PLANILHA ORÇAMENTÁRIA</t>
  </si>
  <si>
    <t>___________________________________</t>
  </si>
  <si>
    <t>CAU/SP A190910-0</t>
  </si>
  <si>
    <t>PORTA LISA DE MADEIRA, INTERNA "PIM", PARA ACABAMENTO COM PINTURA, PADRÃO DIMENSIONAL MÉDIO/PESADO, COM FERRAGENS, COMPLETO - 90 X 210 CM</t>
  </si>
  <si>
    <t>23.13.002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</si>
</sst>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Narandiba - SP,&quot;\ dd\ &quot;de&quot;\ mmmm\ &quot;de&quot;\ yyyy\."/>
    <numFmt numFmtId="166" formatCode="0.0"/>
    <numFmt numFmtId="167" formatCode="0.0000"/>
    <numFmt numFmtId="168" formatCode="_-&quot;R$&quot;* #,##0.00_-;\-&quot;R$&quot;* #,##0.00_-;_-&quot;R$&quot;* &quot;-&quot;????_-;_-@_-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sz val="12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70">
    <xf numFmtId="0" fontId="0" fillId="0" borderId="0" xfId="0"/>
    <xf numFmtId="0" fontId="0" fillId="0" borderId="8" xfId="0" applyBorder="1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44" fontId="3" fillId="2" borderId="5" xfId="0" applyNumberFormat="1" applyFont="1" applyFill="1" applyBorder="1" applyAlignment="1">
      <alignment horizontal="center" vertical="center" wrapText="1"/>
    </xf>
    <xf numFmtId="44" fontId="3" fillId="2" borderId="6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12" xfId="0" applyBorder="1"/>
    <xf numFmtId="0" fontId="0" fillId="0" borderId="11" xfId="0" applyBorder="1"/>
    <xf numFmtId="0" fontId="0" fillId="0" borderId="9" xfId="0" applyBorder="1"/>
    <xf numFmtId="0" fontId="0" fillId="0" borderId="28" xfId="0" applyBorder="1"/>
    <xf numFmtId="0" fontId="0" fillId="0" borderId="7" xfId="0" applyBorder="1"/>
    <xf numFmtId="0" fontId="0" fillId="0" borderId="29" xfId="0" applyBorder="1"/>
    <xf numFmtId="2" fontId="0" fillId="0" borderId="8" xfId="0" applyNumberFormat="1" applyBorder="1"/>
    <xf numFmtId="2" fontId="0" fillId="0" borderId="3" xfId="0" applyNumberFormat="1" applyBorder="1"/>
    <xf numFmtId="0" fontId="0" fillId="0" borderId="16" xfId="0" applyBorder="1"/>
    <xf numFmtId="0" fontId="0" fillId="0" borderId="3" xfId="0" applyBorder="1"/>
    <xf numFmtId="2" fontId="0" fillId="0" borderId="12" xfId="0" applyNumberFormat="1" applyBorder="1"/>
    <xf numFmtId="2" fontId="0" fillId="0" borderId="2" xfId="0" applyNumberFormat="1" applyBorder="1"/>
    <xf numFmtId="2" fontId="0" fillId="0" borderId="6" xfId="0" applyNumberFormat="1" applyBorder="1"/>
    <xf numFmtId="2" fontId="0" fillId="0" borderId="36" xfId="0" applyNumberFormat="1" applyBorder="1"/>
    <xf numFmtId="0" fontId="0" fillId="0" borderId="0" xfId="0" applyAlignment="1">
      <alignment horizontal="center" vertical="center"/>
    </xf>
    <xf numFmtId="2" fontId="0" fillId="0" borderId="37" xfId="0" applyNumberFormat="1" applyBorder="1"/>
    <xf numFmtId="0" fontId="0" fillId="0" borderId="38" xfId="0" applyBorder="1"/>
    <xf numFmtId="2" fontId="0" fillId="0" borderId="29" xfId="0" applyNumberFormat="1" applyBorder="1"/>
    <xf numFmtId="0" fontId="0" fillId="0" borderId="13" xfId="0" applyBorder="1"/>
    <xf numFmtId="0" fontId="0" fillId="0" borderId="24" xfId="0" applyBorder="1"/>
    <xf numFmtId="0" fontId="0" fillId="0" borderId="20" xfId="0" applyBorder="1"/>
    <xf numFmtId="0" fontId="0" fillId="0" borderId="18" xfId="0" applyBorder="1"/>
    <xf numFmtId="0" fontId="0" fillId="0" borderId="8" xfId="0" applyBorder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0" fillId="0" borderId="8" xfId="0" applyBorder="1" applyAlignment="1">
      <alignment horizontal="right"/>
    </xf>
    <xf numFmtId="0" fontId="4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7" fillId="5" borderId="8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44" fontId="7" fillId="5" borderId="14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0" xfId="0" applyFont="1" applyAlignment="1">
      <alignment horizontal="center"/>
    </xf>
    <xf numFmtId="166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15" fillId="0" borderId="0" xfId="0" applyFont="1"/>
    <xf numFmtId="44" fontId="7" fillId="0" borderId="8" xfId="0" applyNumberFormat="1" applyFont="1" applyBorder="1" applyAlignment="1">
      <alignment horizontal="center" vertical="center"/>
    </xf>
    <xf numFmtId="43" fontId="9" fillId="0" borderId="0" xfId="4" applyFont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vertical="center" wrapText="1"/>
    </xf>
    <xf numFmtId="44" fontId="7" fillId="0" borderId="28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4" fontId="7" fillId="5" borderId="28" xfId="0" applyNumberFormat="1" applyFont="1" applyFill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/>
    </xf>
    <xf numFmtId="44" fontId="7" fillId="5" borderId="18" xfId="0" applyNumberFormat="1" applyFont="1" applyFill="1" applyBorder="1" applyAlignment="1">
      <alignment horizontal="center" vertical="center"/>
    </xf>
    <xf numFmtId="0" fontId="15" fillId="0" borderId="8" xfId="0" applyFont="1" applyBorder="1"/>
    <xf numFmtId="0" fontId="0" fillId="0" borderId="19" xfId="0" applyBorder="1"/>
    <xf numFmtId="0" fontId="15" fillId="0" borderId="8" xfId="0" applyFont="1" applyBorder="1" applyAlignment="1">
      <alignment horizontal="right"/>
    </xf>
    <xf numFmtId="0" fontId="17" fillId="5" borderId="0" xfId="0" applyFont="1" applyFill="1" applyAlignment="1">
      <alignment horizontal="center" vertical="center"/>
    </xf>
    <xf numFmtId="0" fontId="18" fillId="0" borderId="8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/>
    </xf>
    <xf numFmtId="167" fontId="12" fillId="0" borderId="8" xfId="0" applyNumberFormat="1" applyFont="1" applyBorder="1" applyAlignment="1">
      <alignment horizontal="center" vertical="center"/>
    </xf>
    <xf numFmtId="164" fontId="12" fillId="0" borderId="8" xfId="5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9" xfId="0" applyFont="1" applyBorder="1"/>
    <xf numFmtId="168" fontId="12" fillId="0" borderId="28" xfId="0" applyNumberFormat="1" applyFont="1" applyBorder="1" applyAlignment="1">
      <alignment horizontal="center" vertical="center"/>
    </xf>
    <xf numFmtId="168" fontId="12" fillId="0" borderId="28" xfId="0" applyNumberFormat="1" applyFont="1" applyBorder="1"/>
    <xf numFmtId="168" fontId="12" fillId="0" borderId="29" xfId="0" applyNumberFormat="1" applyFont="1" applyBorder="1"/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/>
    <xf numFmtId="2" fontId="18" fillId="0" borderId="8" xfId="0" applyNumberFormat="1" applyFont="1" applyBorder="1"/>
    <xf numFmtId="2" fontId="19" fillId="0" borderId="8" xfId="0" applyNumberFormat="1" applyFont="1" applyBorder="1"/>
    <xf numFmtId="0" fontId="18" fillId="5" borderId="0" xfId="0" applyFont="1" applyFill="1"/>
    <xf numFmtId="2" fontId="18" fillId="5" borderId="0" xfId="0" applyNumberFormat="1" applyFont="1" applyFill="1"/>
    <xf numFmtId="0" fontId="19" fillId="0" borderId="0" xfId="0" applyFont="1"/>
    <xf numFmtId="0" fontId="5" fillId="0" borderId="1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44" fontId="11" fillId="0" borderId="14" xfId="0" applyNumberFormat="1" applyFont="1" applyBorder="1" applyAlignment="1">
      <alignment horizontal="center" vertical="center"/>
    </xf>
    <xf numFmtId="44" fontId="11" fillId="0" borderId="1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44" fontId="11" fillId="0" borderId="8" xfId="0" applyNumberFormat="1" applyFont="1" applyBorder="1" applyAlignment="1">
      <alignment horizontal="center" vertical="center"/>
    </xf>
    <xf numFmtId="0" fontId="18" fillId="0" borderId="8" xfId="0" quotePrefix="1" applyFont="1" applyBorder="1"/>
    <xf numFmtId="44" fontId="7" fillId="0" borderId="18" xfId="0" applyNumberFormat="1" applyFont="1" applyBorder="1" applyAlignment="1">
      <alignment horizontal="center" vertical="center"/>
    </xf>
    <xf numFmtId="44" fontId="7" fillId="0" borderId="1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2" fontId="18" fillId="0" borderId="0" xfId="0" applyNumberFormat="1" applyFont="1"/>
    <xf numFmtId="2" fontId="19" fillId="0" borderId="0" xfId="0" applyNumberFormat="1" applyFont="1"/>
    <xf numFmtId="0" fontId="4" fillId="0" borderId="14" xfId="0" applyFont="1" applyBorder="1" applyAlignment="1">
      <alignment horizontal="left" vertical="center" wrapText="1"/>
    </xf>
    <xf numFmtId="44" fontId="11" fillId="0" borderId="28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10" fontId="0" fillId="0" borderId="8" xfId="3" applyNumberFormat="1" applyFont="1" applyBorder="1"/>
    <xf numFmtId="10" fontId="15" fillId="0" borderId="8" xfId="3" applyNumberFormat="1" applyFont="1" applyBorder="1"/>
    <xf numFmtId="0" fontId="12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52" xfId="0" applyFont="1" applyBorder="1" applyAlignment="1">
      <alignment horizontal="center" vertical="center"/>
    </xf>
    <xf numFmtId="44" fontId="4" fillId="0" borderId="44" xfId="0" applyNumberFormat="1" applyFont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 wrapText="1"/>
    </xf>
    <xf numFmtId="2" fontId="4" fillId="5" borderId="0" xfId="0" applyNumberFormat="1" applyFont="1" applyFill="1" applyAlignment="1">
      <alignment horizontal="center" vertical="center"/>
    </xf>
    <xf numFmtId="44" fontId="4" fillId="5" borderId="0" xfId="0" applyNumberFormat="1" applyFont="1" applyFill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8" xfId="0" applyFont="1" applyBorder="1"/>
    <xf numFmtId="164" fontId="12" fillId="0" borderId="8" xfId="0" applyNumberFormat="1" applyFont="1" applyBorder="1" applyAlignment="1">
      <alignment horizontal="center" vertical="center"/>
    </xf>
    <xf numFmtId="9" fontId="12" fillId="0" borderId="8" xfId="3" applyFont="1" applyBorder="1" applyAlignment="1">
      <alignment horizontal="center" vertical="center"/>
    </xf>
    <xf numFmtId="164" fontId="24" fillId="0" borderId="8" xfId="0" applyNumberFormat="1" applyFont="1" applyBorder="1"/>
    <xf numFmtId="164" fontId="12" fillId="0" borderId="0" xfId="5" applyFont="1"/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44" fontId="11" fillId="0" borderId="8" xfId="0" applyNumberFormat="1" applyFont="1" applyBorder="1" applyAlignment="1">
      <alignment vertical="center" wrapText="1"/>
    </xf>
    <xf numFmtId="14" fontId="11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top"/>
    </xf>
    <xf numFmtId="17" fontId="11" fillId="0" borderId="8" xfId="0" applyNumberFormat="1" applyFont="1" applyBorder="1" applyAlignment="1">
      <alignment horizontal="left" vertical="center"/>
    </xf>
    <xf numFmtId="164" fontId="26" fillId="7" borderId="8" xfId="5" applyFont="1" applyFill="1" applyBorder="1"/>
    <xf numFmtId="164" fontId="26" fillId="7" borderId="8" xfId="0" applyNumberFormat="1" applyFont="1" applyFill="1" applyBorder="1"/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7" fillId="0" borderId="8" xfId="0" applyFont="1" applyBorder="1" applyAlignment="1">
      <alignment horizontal="center" vertical="center"/>
    </xf>
    <xf numFmtId="44" fontId="16" fillId="2" borderId="16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4" fontId="11" fillId="0" borderId="8" xfId="0" applyNumberFormat="1" applyFont="1" applyBorder="1" applyAlignment="1">
      <alignment horizontal="center" vertical="center" wrapText="1"/>
    </xf>
    <xf numFmtId="14" fontId="11" fillId="0" borderId="18" xfId="0" applyNumberFormat="1" applyFont="1" applyBorder="1" applyAlignment="1">
      <alignment horizontal="center" vertical="center"/>
    </xf>
    <xf numFmtId="17" fontId="11" fillId="0" borderId="8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7" fillId="0" borderId="9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4" fillId="5" borderId="5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5" borderId="53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0" fontId="11" fillId="0" borderId="37" xfId="3" applyNumberFormat="1" applyFont="1" applyFill="1" applyBorder="1" applyAlignment="1">
      <alignment horizontal="center" vertical="center"/>
    </xf>
    <xf numFmtId="10" fontId="11" fillId="0" borderId="38" xfId="3" applyNumberFormat="1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14" fontId="11" fillId="0" borderId="46" xfId="4" applyNumberFormat="1" applyFont="1" applyFill="1" applyBorder="1" applyAlignment="1">
      <alignment horizontal="center" vertical="center"/>
    </xf>
    <xf numFmtId="14" fontId="11" fillId="0" borderId="40" xfId="4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4" fillId="0" borderId="5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10" fontId="11" fillId="0" borderId="8" xfId="3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/>
    </xf>
    <xf numFmtId="0" fontId="12" fillId="0" borderId="8" xfId="0" applyFont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14" fontId="11" fillId="0" borderId="8" xfId="4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26" fillId="7" borderId="8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19" fillId="0" borderId="8" xfId="0" applyFont="1" applyBorder="1" applyAlignment="1">
      <alignment horizontal="center"/>
    </xf>
    <xf numFmtId="0" fontId="19" fillId="6" borderId="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6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</cellXfs>
  <cellStyles count="6">
    <cellStyle name="Moeda" xfId="5" builtinId="4"/>
    <cellStyle name="Normal" xfId="0" builtinId="0"/>
    <cellStyle name="Normal 2" xfId="1" xr:uid="{00000000-0005-0000-0000-000002000000}"/>
    <cellStyle name="Porcentagem" xfId="3" builtinId="5"/>
    <cellStyle name="Vírgula" xfId="4" builtinId="3"/>
    <cellStyle name="Vírgula 2" xfId="2" xr:uid="{00000000-0005-0000-0000-000005000000}"/>
  </cellStyles>
  <dxfs count="5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85725</xdr:rowOff>
    </xdr:from>
    <xdr:to>
      <xdr:col>0</xdr:col>
      <xdr:colOff>942974</xdr:colOff>
      <xdr:row>4</xdr:row>
      <xdr:rowOff>233821</xdr:rowOff>
    </xdr:to>
    <xdr:pic>
      <xdr:nvPicPr>
        <xdr:cNvPr id="2" name="Imagem 1" descr="LogoPrefCor">
          <a:extLst>
            <a:ext uri="{FF2B5EF4-FFF2-40B4-BE49-F238E27FC236}">
              <a16:creationId xmlns:a16="http://schemas.microsoft.com/office/drawing/2014/main" id="{BE127C38-4A43-49F3-8AFC-BF5DC2C37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85725"/>
          <a:ext cx="809625" cy="833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69851</xdr:rowOff>
    </xdr:from>
    <xdr:to>
      <xdr:col>0</xdr:col>
      <xdr:colOff>831850</xdr:colOff>
      <xdr:row>4</xdr:row>
      <xdr:rowOff>64770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69851"/>
          <a:ext cx="787400" cy="726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K230"/>
  <sheetViews>
    <sheetView tabSelected="1" zoomScale="80" zoomScaleNormal="80" workbookViewId="0">
      <selection activeCell="D72" sqref="D72"/>
    </sheetView>
  </sheetViews>
  <sheetFormatPr defaultColWidth="9.140625" defaultRowHeight="15" x14ac:dyDescent="0.25"/>
  <cols>
    <col min="1" max="1" width="15.5703125" style="2" customWidth="1"/>
    <col min="2" max="2" width="13.85546875" style="2" customWidth="1"/>
    <col min="3" max="3" width="11.42578125" style="2" customWidth="1"/>
    <col min="4" max="4" width="58.7109375" style="2" customWidth="1"/>
    <col min="5" max="5" width="9.28515625" style="2" bestFit="1" customWidth="1"/>
    <col min="6" max="6" width="14.28515625" style="9" customWidth="1"/>
    <col min="7" max="7" width="18.42578125" style="7" customWidth="1"/>
    <col min="8" max="8" width="16.5703125" style="7" customWidth="1"/>
    <col min="9" max="9" width="23.140625" style="7" customWidth="1"/>
    <col min="10" max="10" width="15.28515625" style="2" bestFit="1" customWidth="1"/>
    <col min="11" max="16384" width="9.140625" style="2"/>
  </cols>
  <sheetData>
    <row r="1" spans="1:9" ht="13.9" customHeight="1" x14ac:dyDescent="0.25">
      <c r="A1" s="165"/>
      <c r="B1" s="183" t="s">
        <v>665</v>
      </c>
      <c r="C1" s="184"/>
      <c r="D1" s="184"/>
      <c r="E1" s="184"/>
      <c r="F1" s="184"/>
      <c r="G1" s="184"/>
      <c r="H1" s="184"/>
      <c r="I1" s="185"/>
    </row>
    <row r="2" spans="1:9" ht="13.9" customHeight="1" x14ac:dyDescent="0.25">
      <c r="A2" s="166"/>
      <c r="B2" s="186"/>
      <c r="C2" s="187"/>
      <c r="D2" s="187"/>
      <c r="E2" s="187"/>
      <c r="F2" s="187"/>
      <c r="G2" s="187"/>
      <c r="H2" s="187"/>
      <c r="I2" s="188"/>
    </row>
    <row r="3" spans="1:9" ht="13.9" customHeight="1" x14ac:dyDescent="0.25">
      <c r="A3" s="166"/>
      <c r="B3" s="186"/>
      <c r="C3" s="187"/>
      <c r="D3" s="187"/>
      <c r="E3" s="187"/>
      <c r="F3" s="187"/>
      <c r="G3" s="187"/>
      <c r="H3" s="187"/>
      <c r="I3" s="188"/>
    </row>
    <row r="4" spans="1:9" ht="13.9" customHeight="1" x14ac:dyDescent="0.25">
      <c r="A4" s="166"/>
      <c r="B4" s="186"/>
      <c r="C4" s="187"/>
      <c r="D4" s="187"/>
      <c r="E4" s="187"/>
      <c r="F4" s="187"/>
      <c r="G4" s="187"/>
      <c r="H4" s="187"/>
      <c r="I4" s="188"/>
    </row>
    <row r="5" spans="1:9" ht="22.15" customHeight="1" x14ac:dyDescent="0.25">
      <c r="A5" s="166"/>
      <c r="B5" s="189"/>
      <c r="C5" s="190"/>
      <c r="D5" s="190"/>
      <c r="E5" s="190"/>
      <c r="F5" s="190"/>
      <c r="G5" s="190"/>
      <c r="H5" s="190"/>
      <c r="I5" s="191"/>
    </row>
    <row r="6" spans="1:9" ht="37.9" customHeight="1" x14ac:dyDescent="0.25">
      <c r="A6" s="151" t="s">
        <v>11</v>
      </c>
      <c r="B6" s="194" t="s">
        <v>667</v>
      </c>
      <c r="C6" s="194"/>
      <c r="D6" s="194"/>
      <c r="E6" s="194"/>
      <c r="F6" s="145" t="s">
        <v>10</v>
      </c>
      <c r="G6" s="146" t="s">
        <v>626</v>
      </c>
      <c r="H6" s="146" t="s">
        <v>559</v>
      </c>
      <c r="I6" s="147" t="s">
        <v>95</v>
      </c>
    </row>
    <row r="7" spans="1:9" ht="25.15" customHeight="1" x14ac:dyDescent="0.25">
      <c r="A7" s="151" t="s">
        <v>13</v>
      </c>
      <c r="B7" s="195" t="s">
        <v>669</v>
      </c>
      <c r="C7" s="195"/>
      <c r="D7" s="195"/>
      <c r="E7" s="195"/>
      <c r="F7" s="134" t="s">
        <v>12</v>
      </c>
      <c r="G7" s="148">
        <v>45962</v>
      </c>
      <c r="H7" s="148">
        <v>45839</v>
      </c>
      <c r="I7" s="192">
        <v>46100</v>
      </c>
    </row>
    <row r="8" spans="1:9" ht="25.9" customHeight="1" thickBot="1" x14ac:dyDescent="0.3">
      <c r="A8" s="152" t="s">
        <v>14</v>
      </c>
      <c r="B8" s="196" t="s">
        <v>666</v>
      </c>
      <c r="C8" s="197"/>
      <c r="D8" s="197"/>
      <c r="E8" s="198"/>
      <c r="F8" s="149" t="s">
        <v>1</v>
      </c>
      <c r="G8" s="181">
        <v>0.2354</v>
      </c>
      <c r="H8" s="182"/>
      <c r="I8" s="193"/>
    </row>
    <row r="9" spans="1:9" ht="8.25" customHeight="1" thickBot="1" x14ac:dyDescent="0.3">
      <c r="A9" s="167"/>
      <c r="B9" s="168"/>
      <c r="C9" s="168"/>
      <c r="D9" s="168"/>
      <c r="E9" s="168"/>
      <c r="F9" s="168"/>
      <c r="G9" s="168"/>
      <c r="H9" s="168"/>
      <c r="I9" s="169"/>
    </row>
    <row r="10" spans="1:9" ht="27.6" customHeight="1" thickBot="1" x14ac:dyDescent="0.3">
      <c r="A10" s="170" t="s">
        <v>670</v>
      </c>
      <c r="B10" s="171"/>
      <c r="C10" s="171"/>
      <c r="D10" s="171"/>
      <c r="E10" s="171"/>
      <c r="F10" s="171"/>
      <c r="G10" s="171"/>
      <c r="H10" s="171"/>
      <c r="I10" s="172"/>
    </row>
    <row r="11" spans="1:9" ht="9" customHeight="1" thickBot="1" x14ac:dyDescent="0.3">
      <c r="A11" s="121"/>
      <c r="B11" s="3"/>
      <c r="C11" s="3"/>
      <c r="D11" s="3"/>
      <c r="E11" s="3"/>
      <c r="F11" s="4"/>
      <c r="G11" s="5"/>
      <c r="H11" s="5"/>
      <c r="I11" s="122"/>
    </row>
    <row r="12" spans="1:9" s="6" customFormat="1" ht="26.25" thickBot="1" x14ac:dyDescent="0.3">
      <c r="A12" s="13" t="s">
        <v>98</v>
      </c>
      <c r="B12" s="14" t="s">
        <v>10</v>
      </c>
      <c r="C12" s="15" t="s">
        <v>99</v>
      </c>
      <c r="D12" s="15" t="s">
        <v>100</v>
      </c>
      <c r="E12" s="15" t="s">
        <v>101</v>
      </c>
      <c r="F12" s="16" t="s">
        <v>102</v>
      </c>
      <c r="G12" s="17" t="s">
        <v>103</v>
      </c>
      <c r="H12" s="17" t="s">
        <v>104</v>
      </c>
      <c r="I12" s="18" t="s">
        <v>105</v>
      </c>
    </row>
    <row r="13" spans="1:9" ht="11.25" customHeight="1" thickBot="1" x14ac:dyDescent="0.3">
      <c r="A13" s="121"/>
      <c r="B13" s="3"/>
      <c r="C13" s="3"/>
      <c r="D13" s="3"/>
      <c r="E13" s="3"/>
      <c r="F13" s="4"/>
      <c r="G13" s="5"/>
      <c r="H13" s="5"/>
      <c r="I13" s="122"/>
    </row>
    <row r="14" spans="1:9" ht="17.45" customHeight="1" x14ac:dyDescent="0.25">
      <c r="A14" s="61" t="s">
        <v>41</v>
      </c>
      <c r="B14" s="62"/>
      <c r="C14" s="111"/>
      <c r="D14" s="63" t="s">
        <v>85</v>
      </c>
      <c r="E14" s="179"/>
      <c r="F14" s="179"/>
      <c r="G14" s="179"/>
      <c r="H14" s="179"/>
      <c r="I14" s="180"/>
    </row>
    <row r="15" spans="1:9" ht="29.45" customHeight="1" x14ac:dyDescent="0.25">
      <c r="A15" s="91" t="s">
        <v>0</v>
      </c>
      <c r="B15" s="92" t="s">
        <v>558</v>
      </c>
      <c r="C15" s="94">
        <v>103689</v>
      </c>
      <c r="D15" s="108" t="s">
        <v>668</v>
      </c>
      <c r="E15" s="94" t="s">
        <v>59</v>
      </c>
      <c r="F15" s="95">
        <v>4.5</v>
      </c>
      <c r="G15" s="96">
        <v>474.01</v>
      </c>
      <c r="H15" s="96">
        <f>ROUND(G15*(1+G8),2)</f>
        <v>585.59</v>
      </c>
      <c r="I15" s="97">
        <f>ROUND(F15*H15,2)</f>
        <v>2635.16</v>
      </c>
    </row>
    <row r="16" spans="1:9" ht="45" customHeight="1" x14ac:dyDescent="0.25">
      <c r="A16" s="91" t="s">
        <v>37</v>
      </c>
      <c r="B16" s="92" t="s">
        <v>116</v>
      </c>
      <c r="C16" s="94" t="s">
        <v>30</v>
      </c>
      <c r="D16" s="108" t="s">
        <v>51</v>
      </c>
      <c r="E16" s="94" t="s">
        <v>59</v>
      </c>
      <c r="F16" s="95">
        <v>211.5</v>
      </c>
      <c r="G16" s="96">
        <v>8.34</v>
      </c>
      <c r="H16" s="96">
        <f>ROUND(G16*(1+$G$8),2)</f>
        <v>10.3</v>
      </c>
      <c r="I16" s="97">
        <f>ROUND(F16*H16,2)</f>
        <v>2178.4499999999998</v>
      </c>
    </row>
    <row r="17" spans="1:9" ht="33.6" customHeight="1" x14ac:dyDescent="0.25">
      <c r="A17" s="91" t="s">
        <v>38</v>
      </c>
      <c r="B17" s="92" t="s">
        <v>116</v>
      </c>
      <c r="C17" s="94" t="s">
        <v>57</v>
      </c>
      <c r="D17" s="108" t="s">
        <v>58</v>
      </c>
      <c r="E17" s="94" t="s">
        <v>59</v>
      </c>
      <c r="F17" s="95">
        <f>F16</f>
        <v>211.5</v>
      </c>
      <c r="G17" s="96">
        <v>3.56</v>
      </c>
      <c r="H17" s="96">
        <f>ROUND(G17*(1+$G$8),2)</f>
        <v>4.4000000000000004</v>
      </c>
      <c r="I17" s="97">
        <f>ROUND(F17*H17,2)</f>
        <v>930.6</v>
      </c>
    </row>
    <row r="18" spans="1:9" ht="26.25" customHeight="1" x14ac:dyDescent="0.25">
      <c r="A18" s="91" t="s">
        <v>56</v>
      </c>
      <c r="B18" s="92" t="s">
        <v>116</v>
      </c>
      <c r="C18" s="94" t="s">
        <v>31</v>
      </c>
      <c r="D18" s="108" t="s">
        <v>52</v>
      </c>
      <c r="E18" s="94" t="s">
        <v>59</v>
      </c>
      <c r="F18" s="95">
        <v>211.5</v>
      </c>
      <c r="G18" s="96">
        <v>17.850000000000001</v>
      </c>
      <c r="H18" s="96">
        <f>ROUND(G18*(1+$G$8),2)</f>
        <v>22.05</v>
      </c>
      <c r="I18" s="97">
        <f>ROUND(F18*H18,2)</f>
        <v>4663.58</v>
      </c>
    </row>
    <row r="19" spans="1:9" ht="18.600000000000001" customHeight="1" x14ac:dyDescent="0.25">
      <c r="A19" s="173"/>
      <c r="B19" s="174"/>
      <c r="C19" s="174"/>
      <c r="D19" s="174"/>
      <c r="E19" s="174"/>
      <c r="F19" s="174"/>
      <c r="G19" s="174"/>
      <c r="H19" s="58" t="s">
        <v>3</v>
      </c>
      <c r="I19" s="64">
        <f>SUM(I15:I18)</f>
        <v>10407.790000000001</v>
      </c>
    </row>
    <row r="20" spans="1:9" ht="15.75" customHeight="1" x14ac:dyDescent="0.25">
      <c r="A20" s="173"/>
      <c r="B20" s="174"/>
      <c r="C20" s="174"/>
      <c r="D20" s="174"/>
      <c r="E20" s="174"/>
      <c r="F20" s="174"/>
      <c r="G20" s="174"/>
      <c r="H20" s="174"/>
      <c r="I20" s="175"/>
    </row>
    <row r="21" spans="1:9" ht="16.899999999999999" customHeight="1" x14ac:dyDescent="0.25">
      <c r="A21" s="65" t="s">
        <v>40</v>
      </c>
      <c r="B21" s="12"/>
      <c r="C21" s="45"/>
      <c r="D21" s="11" t="s">
        <v>181</v>
      </c>
      <c r="E21" s="159"/>
      <c r="F21" s="159"/>
      <c r="G21" s="159"/>
      <c r="H21" s="159"/>
      <c r="I21" s="160"/>
    </row>
    <row r="22" spans="1:9" ht="31.15" customHeight="1" x14ac:dyDescent="0.25">
      <c r="A22" s="91" t="s">
        <v>15</v>
      </c>
      <c r="B22" s="92" t="s">
        <v>116</v>
      </c>
      <c r="C22" s="94" t="s">
        <v>26</v>
      </c>
      <c r="D22" s="108" t="s">
        <v>25</v>
      </c>
      <c r="E22" s="94" t="s">
        <v>77</v>
      </c>
      <c r="F22" s="95">
        <v>10.85</v>
      </c>
      <c r="G22" s="96">
        <v>68.13</v>
      </c>
      <c r="H22" s="96">
        <f>(ROUND(G22*(1+$G$8),2))</f>
        <v>84.17</v>
      </c>
      <c r="I22" s="97">
        <f>ROUND(F22*H22,2)</f>
        <v>913.24</v>
      </c>
    </row>
    <row r="23" spans="1:9" ht="30" customHeight="1" x14ac:dyDescent="0.25">
      <c r="A23" s="91" t="s">
        <v>182</v>
      </c>
      <c r="B23" s="92" t="s">
        <v>116</v>
      </c>
      <c r="C23" s="94" t="s">
        <v>65</v>
      </c>
      <c r="D23" s="108" t="s">
        <v>70</v>
      </c>
      <c r="E23" s="94" t="s">
        <v>76</v>
      </c>
      <c r="F23" s="95">
        <v>124</v>
      </c>
      <c r="G23" s="101">
        <v>85.64</v>
      </c>
      <c r="H23" s="101">
        <f>(ROUND(G23*(1+$G$8),2))</f>
        <v>105.8</v>
      </c>
      <c r="I23" s="109">
        <f t="shared" ref="I23:I30" si="0">ROUND(F23*H23,2)</f>
        <v>13119.2</v>
      </c>
    </row>
    <row r="24" spans="1:9" ht="25.5" x14ac:dyDescent="0.25">
      <c r="A24" s="91" t="s">
        <v>60</v>
      </c>
      <c r="B24" s="92" t="s">
        <v>116</v>
      </c>
      <c r="C24" s="94" t="s">
        <v>67</v>
      </c>
      <c r="D24" s="108" t="s">
        <v>72</v>
      </c>
      <c r="E24" s="94" t="s">
        <v>2</v>
      </c>
      <c r="F24" s="95">
        <v>105</v>
      </c>
      <c r="G24" s="101">
        <v>10.47</v>
      </c>
      <c r="H24" s="101">
        <f t="shared" ref="H24:H29" si="1">ROUND(G24*(1+$G$8),2)</f>
        <v>12.93</v>
      </c>
      <c r="I24" s="109">
        <f t="shared" si="0"/>
        <v>1357.65</v>
      </c>
    </row>
    <row r="25" spans="1:9" ht="25.5" x14ac:dyDescent="0.25">
      <c r="A25" s="91" t="s">
        <v>61</v>
      </c>
      <c r="B25" s="92" t="s">
        <v>116</v>
      </c>
      <c r="C25" s="94" t="s">
        <v>66</v>
      </c>
      <c r="D25" s="108" t="s">
        <v>71</v>
      </c>
      <c r="E25" s="94" t="s">
        <v>2</v>
      </c>
      <c r="F25" s="95">
        <v>263</v>
      </c>
      <c r="G25" s="101">
        <v>10.14</v>
      </c>
      <c r="H25" s="101">
        <f t="shared" si="1"/>
        <v>12.53</v>
      </c>
      <c r="I25" s="109">
        <f t="shared" si="0"/>
        <v>3295.39</v>
      </c>
    </row>
    <row r="26" spans="1:9" x14ac:dyDescent="0.25">
      <c r="A26" s="91" t="s">
        <v>62</v>
      </c>
      <c r="B26" s="92" t="s">
        <v>116</v>
      </c>
      <c r="C26" s="94" t="s">
        <v>68</v>
      </c>
      <c r="D26" s="108" t="s">
        <v>73</v>
      </c>
      <c r="E26" s="94" t="s">
        <v>59</v>
      </c>
      <c r="F26" s="95">
        <v>64.84</v>
      </c>
      <c r="G26" s="101">
        <v>110.06</v>
      </c>
      <c r="H26" s="101">
        <f t="shared" si="1"/>
        <v>135.97</v>
      </c>
      <c r="I26" s="109">
        <f t="shared" si="0"/>
        <v>8816.2900000000009</v>
      </c>
    </row>
    <row r="27" spans="1:9" x14ac:dyDescent="0.25">
      <c r="A27" s="91" t="s">
        <v>183</v>
      </c>
      <c r="B27" s="92" t="s">
        <v>116</v>
      </c>
      <c r="C27" s="94" t="s">
        <v>69</v>
      </c>
      <c r="D27" s="108" t="s">
        <v>74</v>
      </c>
      <c r="E27" s="94" t="s">
        <v>77</v>
      </c>
      <c r="F27" s="95">
        <v>4.24</v>
      </c>
      <c r="G27" s="101">
        <v>519.37</v>
      </c>
      <c r="H27" s="101">
        <f t="shared" si="1"/>
        <v>641.63</v>
      </c>
      <c r="I27" s="109">
        <f t="shared" si="0"/>
        <v>2720.51</v>
      </c>
    </row>
    <row r="28" spans="1:9" ht="18" customHeight="1" x14ac:dyDescent="0.25">
      <c r="A28" s="91" t="s">
        <v>63</v>
      </c>
      <c r="B28" s="92" t="s">
        <v>116</v>
      </c>
      <c r="C28" s="94" t="s">
        <v>23</v>
      </c>
      <c r="D28" s="108" t="s">
        <v>24</v>
      </c>
      <c r="E28" s="94" t="s">
        <v>77</v>
      </c>
      <c r="F28" s="95">
        <v>2.12</v>
      </c>
      <c r="G28" s="101">
        <v>1104.5899999999999</v>
      </c>
      <c r="H28" s="101">
        <f t="shared" si="1"/>
        <v>1364.61</v>
      </c>
      <c r="I28" s="109">
        <f t="shared" si="0"/>
        <v>2892.97</v>
      </c>
    </row>
    <row r="29" spans="1:9" ht="29.45" customHeight="1" x14ac:dyDescent="0.25">
      <c r="A29" s="91" t="s">
        <v>64</v>
      </c>
      <c r="B29" s="92" t="s">
        <v>116</v>
      </c>
      <c r="C29" s="94" t="s">
        <v>32</v>
      </c>
      <c r="D29" s="108" t="s">
        <v>33</v>
      </c>
      <c r="E29" s="94" t="s">
        <v>77</v>
      </c>
      <c r="F29" s="95">
        <f>F27</f>
        <v>4.24</v>
      </c>
      <c r="G29" s="101">
        <v>191.54</v>
      </c>
      <c r="H29" s="101">
        <f t="shared" si="1"/>
        <v>236.63</v>
      </c>
      <c r="I29" s="109">
        <f t="shared" si="0"/>
        <v>1003.31</v>
      </c>
    </row>
    <row r="30" spans="1:9" ht="30" customHeight="1" x14ac:dyDescent="0.25">
      <c r="A30" s="91" t="s">
        <v>191</v>
      </c>
      <c r="B30" s="92" t="s">
        <v>116</v>
      </c>
      <c r="C30" s="94" t="s">
        <v>22</v>
      </c>
      <c r="D30" s="108" t="s">
        <v>75</v>
      </c>
      <c r="E30" s="94" t="s">
        <v>59</v>
      </c>
      <c r="F30" s="95">
        <f>35.73+((15+6.15)*1.7)</f>
        <v>71.685000000000002</v>
      </c>
      <c r="G30" s="101">
        <v>88.86</v>
      </c>
      <c r="H30" s="101">
        <f>(ROUND(G30*(1+$G$8),2))</f>
        <v>109.78</v>
      </c>
      <c r="I30" s="109">
        <f t="shared" si="0"/>
        <v>7869.58</v>
      </c>
    </row>
    <row r="31" spans="1:9" s="43" customFormat="1" ht="15.75" customHeight="1" x14ac:dyDescent="0.25">
      <c r="A31" s="161"/>
      <c r="B31" s="162"/>
      <c r="C31" s="162"/>
      <c r="D31" s="162"/>
      <c r="E31" s="162"/>
      <c r="F31" s="162"/>
      <c r="G31" s="162"/>
      <c r="H31" s="47" t="s">
        <v>3</v>
      </c>
      <c r="I31" s="66">
        <f>SUM(I22:I30)</f>
        <v>41988.14</v>
      </c>
    </row>
    <row r="32" spans="1:9" s="43" customFormat="1" ht="15.75" customHeight="1" x14ac:dyDescent="0.25">
      <c r="A32" s="161"/>
      <c r="B32" s="162"/>
      <c r="C32" s="162"/>
      <c r="D32" s="162"/>
      <c r="E32" s="162"/>
      <c r="F32" s="162"/>
      <c r="G32" s="162"/>
      <c r="H32" s="162"/>
      <c r="I32" s="163"/>
    </row>
    <row r="33" spans="1:9" ht="14.25" customHeight="1" x14ac:dyDescent="0.25">
      <c r="A33" s="65" t="s">
        <v>39</v>
      </c>
      <c r="B33" s="12"/>
      <c r="C33" s="45"/>
      <c r="D33" s="11" t="s">
        <v>190</v>
      </c>
      <c r="E33" s="159"/>
      <c r="F33" s="159"/>
      <c r="G33" s="159"/>
      <c r="H33" s="159"/>
      <c r="I33" s="160"/>
    </row>
    <row r="34" spans="1:9" ht="25.5" x14ac:dyDescent="0.25">
      <c r="A34" s="91" t="s">
        <v>42</v>
      </c>
      <c r="B34" s="92" t="s">
        <v>116</v>
      </c>
      <c r="C34" s="94" t="s">
        <v>66</v>
      </c>
      <c r="D34" s="108" t="s">
        <v>71</v>
      </c>
      <c r="E34" s="94" t="s">
        <v>2</v>
      </c>
      <c r="F34" s="95">
        <v>732.8</v>
      </c>
      <c r="G34" s="101">
        <v>10.14</v>
      </c>
      <c r="H34" s="101">
        <f t="shared" ref="H34:H48" si="2">ROUND(G34*(1+$G$8),2)</f>
        <v>12.53</v>
      </c>
      <c r="I34" s="109">
        <f>ROUND(F34*H34,2)</f>
        <v>9181.98</v>
      </c>
    </row>
    <row r="35" spans="1:9" ht="25.5" x14ac:dyDescent="0.25">
      <c r="A35" s="91" t="s">
        <v>43</v>
      </c>
      <c r="B35" s="92" t="s">
        <v>116</v>
      </c>
      <c r="C35" s="94" t="s">
        <v>67</v>
      </c>
      <c r="D35" s="108" t="s">
        <v>72</v>
      </c>
      <c r="E35" s="94" t="s">
        <v>2</v>
      </c>
      <c r="F35" s="95">
        <v>268.39999999999998</v>
      </c>
      <c r="G35" s="101">
        <v>10.47</v>
      </c>
      <c r="H35" s="101">
        <f t="shared" si="2"/>
        <v>12.93</v>
      </c>
      <c r="I35" s="109">
        <f t="shared" ref="I35:I36" si="3">ROUND(F35*H35,2)</f>
        <v>3470.41</v>
      </c>
    </row>
    <row r="36" spans="1:9" x14ac:dyDescent="0.25">
      <c r="A36" s="91" t="s">
        <v>44</v>
      </c>
      <c r="B36" s="92" t="s">
        <v>116</v>
      </c>
      <c r="C36" s="94" t="s">
        <v>123</v>
      </c>
      <c r="D36" s="108" t="s">
        <v>124</v>
      </c>
      <c r="E36" s="94" t="s">
        <v>59</v>
      </c>
      <c r="F36" s="95">
        <v>117.5</v>
      </c>
      <c r="G36" s="101">
        <v>252.88</v>
      </c>
      <c r="H36" s="101">
        <f>ROUND(G36*(1+$G$8),2)</f>
        <v>312.41000000000003</v>
      </c>
      <c r="I36" s="109">
        <f t="shared" si="3"/>
        <v>36708.18</v>
      </c>
    </row>
    <row r="37" spans="1:9" x14ac:dyDescent="0.25">
      <c r="A37" s="91" t="s">
        <v>126</v>
      </c>
      <c r="B37" s="92" t="s">
        <v>116</v>
      </c>
      <c r="C37" s="94" t="s">
        <v>69</v>
      </c>
      <c r="D37" s="108" t="s">
        <v>74</v>
      </c>
      <c r="E37" s="94" t="s">
        <v>77</v>
      </c>
      <c r="F37" s="95">
        <v>8.6199999999999992</v>
      </c>
      <c r="G37" s="101">
        <v>519.37</v>
      </c>
      <c r="H37" s="101">
        <f t="shared" si="2"/>
        <v>641.63</v>
      </c>
      <c r="I37" s="109">
        <f>ROUND(F37*H37,2)</f>
        <v>5530.85</v>
      </c>
    </row>
    <row r="38" spans="1:9" ht="31.15" customHeight="1" x14ac:dyDescent="0.25">
      <c r="A38" s="91" t="s">
        <v>184</v>
      </c>
      <c r="B38" s="92" t="s">
        <v>116</v>
      </c>
      <c r="C38" s="94" t="s">
        <v>331</v>
      </c>
      <c r="D38" s="108" t="s">
        <v>332</v>
      </c>
      <c r="E38" s="94" t="s">
        <v>77</v>
      </c>
      <c r="F38" s="95">
        <f>F37</f>
        <v>8.6199999999999992</v>
      </c>
      <c r="G38" s="101">
        <v>132.30000000000001</v>
      </c>
      <c r="H38" s="101">
        <f t="shared" si="2"/>
        <v>163.44</v>
      </c>
      <c r="I38" s="109">
        <f t="shared" ref="I38" si="4">ROUND(F38*H38,2)</f>
        <v>1408.85</v>
      </c>
    </row>
    <row r="39" spans="1:9" ht="31.9" customHeight="1" x14ac:dyDescent="0.25">
      <c r="A39" s="91" t="s">
        <v>185</v>
      </c>
      <c r="B39" s="92" t="s">
        <v>116</v>
      </c>
      <c r="C39" s="94" t="s">
        <v>93</v>
      </c>
      <c r="D39" s="108" t="s">
        <v>94</v>
      </c>
      <c r="E39" s="94" t="s">
        <v>77</v>
      </c>
      <c r="F39" s="95">
        <v>2.14</v>
      </c>
      <c r="G39" s="101">
        <v>1893.98</v>
      </c>
      <c r="H39" s="101">
        <f>ROUND(G39*(1+$G$8),2)</f>
        <v>2339.8200000000002</v>
      </c>
      <c r="I39" s="109">
        <f>ROUND(F39*H39,2)</f>
        <v>5007.21</v>
      </c>
    </row>
    <row r="40" spans="1:9" ht="18.600000000000001" customHeight="1" x14ac:dyDescent="0.25">
      <c r="A40" s="91" t="s">
        <v>186</v>
      </c>
      <c r="B40" s="92" t="s">
        <v>116</v>
      </c>
      <c r="C40" s="94" t="s">
        <v>201</v>
      </c>
      <c r="D40" s="108" t="s">
        <v>628</v>
      </c>
      <c r="E40" s="94" t="s">
        <v>59</v>
      </c>
      <c r="F40" s="95">
        <v>367.36</v>
      </c>
      <c r="G40" s="101">
        <v>76.540000000000006</v>
      </c>
      <c r="H40" s="101">
        <f t="shared" si="2"/>
        <v>94.56</v>
      </c>
      <c r="I40" s="109">
        <f>ROUND(F40*H40,2)</f>
        <v>34737.56</v>
      </c>
    </row>
    <row r="41" spans="1:9" ht="30" customHeight="1" x14ac:dyDescent="0.25">
      <c r="A41" s="91" t="s">
        <v>238</v>
      </c>
      <c r="B41" s="92" t="s">
        <v>116</v>
      </c>
      <c r="C41" s="94" t="s">
        <v>630</v>
      </c>
      <c r="D41" s="108" t="s">
        <v>629</v>
      </c>
      <c r="E41" s="94" t="s">
        <v>59</v>
      </c>
      <c r="F41" s="95">
        <v>56.74</v>
      </c>
      <c r="G41" s="101">
        <v>164.62</v>
      </c>
      <c r="H41" s="101">
        <f t="shared" si="2"/>
        <v>203.37</v>
      </c>
      <c r="I41" s="109">
        <f>ROUND(F41*H41,2)</f>
        <v>11539.21</v>
      </c>
    </row>
    <row r="42" spans="1:9" s="43" customFormat="1" ht="15.75" customHeight="1" x14ac:dyDescent="0.25">
      <c r="A42" s="67"/>
      <c r="B42" s="123"/>
      <c r="C42" s="123"/>
      <c r="D42" s="124"/>
      <c r="E42" s="123"/>
      <c r="F42" s="125"/>
      <c r="G42" s="126"/>
      <c r="H42" s="50" t="s">
        <v>3</v>
      </c>
      <c r="I42" s="68">
        <f>SUM(I34:I41)</f>
        <v>107584.25</v>
      </c>
    </row>
    <row r="43" spans="1:9" s="43" customFormat="1" ht="15.75" customHeight="1" x14ac:dyDescent="0.25">
      <c r="A43" s="176"/>
      <c r="B43" s="177"/>
      <c r="C43" s="177"/>
      <c r="D43" s="177"/>
      <c r="E43" s="177"/>
      <c r="F43" s="177"/>
      <c r="G43" s="177"/>
      <c r="H43" s="177"/>
      <c r="I43" s="178"/>
    </row>
    <row r="44" spans="1:9" ht="19.149999999999999" customHeight="1" x14ac:dyDescent="0.25">
      <c r="A44" s="65" t="s">
        <v>45</v>
      </c>
      <c r="B44" s="12"/>
      <c r="C44" s="45"/>
      <c r="D44" s="11" t="s">
        <v>333</v>
      </c>
      <c r="E44" s="159"/>
      <c r="F44" s="159"/>
      <c r="G44" s="159"/>
      <c r="H44" s="159"/>
      <c r="I44" s="160"/>
    </row>
    <row r="45" spans="1:9" x14ac:dyDescent="0.25">
      <c r="A45" s="91" t="s">
        <v>16</v>
      </c>
      <c r="B45" s="92" t="s">
        <v>116</v>
      </c>
      <c r="C45" s="94" t="s">
        <v>82</v>
      </c>
      <c r="D45" s="108" t="s">
        <v>83</v>
      </c>
      <c r="E45" s="94" t="s">
        <v>59</v>
      </c>
      <c r="F45" s="95">
        <v>791.46</v>
      </c>
      <c r="G45" s="101">
        <v>7.73</v>
      </c>
      <c r="H45" s="101">
        <f>(ROUND(G45*(1+$G$8),2))</f>
        <v>9.5500000000000007</v>
      </c>
      <c r="I45" s="109">
        <f t="shared" ref="I45:I49" si="5">ROUND(F45*H45,2)</f>
        <v>7558.44</v>
      </c>
    </row>
    <row r="46" spans="1:9" x14ac:dyDescent="0.25">
      <c r="A46" s="91" t="s">
        <v>17</v>
      </c>
      <c r="B46" s="92" t="s">
        <v>116</v>
      </c>
      <c r="C46" s="94" t="s">
        <v>78</v>
      </c>
      <c r="D46" s="108" t="s">
        <v>79</v>
      </c>
      <c r="E46" s="94" t="s">
        <v>59</v>
      </c>
      <c r="F46" s="95">
        <v>791.46</v>
      </c>
      <c r="G46" s="101">
        <v>24.69</v>
      </c>
      <c r="H46" s="101">
        <f>(ROUND(G46*(1+$G$8),2))</f>
        <v>30.5</v>
      </c>
      <c r="I46" s="109">
        <f t="shared" si="5"/>
        <v>24139.53</v>
      </c>
    </row>
    <row r="47" spans="1:9" x14ac:dyDescent="0.25">
      <c r="A47" s="91" t="s">
        <v>18</v>
      </c>
      <c r="B47" s="92" t="s">
        <v>116</v>
      </c>
      <c r="C47" s="94" t="s">
        <v>80</v>
      </c>
      <c r="D47" s="108" t="s">
        <v>81</v>
      </c>
      <c r="E47" s="94" t="s">
        <v>59</v>
      </c>
      <c r="F47" s="95">
        <v>791.46</v>
      </c>
      <c r="G47" s="101">
        <v>14.6</v>
      </c>
      <c r="H47" s="101">
        <f t="shared" si="2"/>
        <v>18.04</v>
      </c>
      <c r="I47" s="109">
        <f t="shared" si="5"/>
        <v>14277.94</v>
      </c>
    </row>
    <row r="48" spans="1:9" ht="31.9" customHeight="1" x14ac:dyDescent="0.25">
      <c r="A48" s="91" t="s">
        <v>19</v>
      </c>
      <c r="B48" s="92" t="s">
        <v>116</v>
      </c>
      <c r="C48" s="94" t="s">
        <v>336</v>
      </c>
      <c r="D48" s="108" t="s">
        <v>334</v>
      </c>
      <c r="E48" s="94" t="s">
        <v>59</v>
      </c>
      <c r="F48" s="95">
        <v>30.45</v>
      </c>
      <c r="G48" s="101">
        <v>221.1</v>
      </c>
      <c r="H48" s="101">
        <f t="shared" si="2"/>
        <v>273.14999999999998</v>
      </c>
      <c r="I48" s="109">
        <f t="shared" si="5"/>
        <v>8317.42</v>
      </c>
    </row>
    <row r="49" spans="1:9" ht="51" x14ac:dyDescent="0.25">
      <c r="A49" s="91" t="s">
        <v>239</v>
      </c>
      <c r="B49" s="92" t="s">
        <v>116</v>
      </c>
      <c r="C49" s="94" t="s">
        <v>636</v>
      </c>
      <c r="D49" s="142" t="s">
        <v>635</v>
      </c>
      <c r="E49" s="94" t="s">
        <v>59</v>
      </c>
      <c r="F49" s="95">
        <v>159.54</v>
      </c>
      <c r="G49" s="101">
        <v>57.54</v>
      </c>
      <c r="H49" s="101">
        <f>ROUND(G49*(1+$G$8),2)</f>
        <v>71.08</v>
      </c>
      <c r="I49" s="109">
        <f t="shared" si="5"/>
        <v>11340.1</v>
      </c>
    </row>
    <row r="50" spans="1:9" s="43" customFormat="1" ht="15.75" x14ac:dyDescent="0.25">
      <c r="A50" s="161"/>
      <c r="B50" s="162"/>
      <c r="C50" s="162"/>
      <c r="D50" s="162"/>
      <c r="E50" s="162"/>
      <c r="F50" s="162"/>
      <c r="G50" s="162"/>
      <c r="H50" s="47" t="s">
        <v>3</v>
      </c>
      <c r="I50" s="66">
        <f>SUM(I45:I49)</f>
        <v>65633.429999999993</v>
      </c>
    </row>
    <row r="51" spans="1:9" s="43" customFormat="1" ht="15.75" customHeight="1" x14ac:dyDescent="0.25">
      <c r="A51" s="161"/>
      <c r="B51" s="162"/>
      <c r="C51" s="162"/>
      <c r="D51" s="162"/>
      <c r="E51" s="162"/>
      <c r="F51" s="162"/>
      <c r="G51" s="162"/>
      <c r="H51" s="162"/>
      <c r="I51" s="163"/>
    </row>
    <row r="52" spans="1:9" ht="17.45" customHeight="1" x14ac:dyDescent="0.25">
      <c r="A52" s="65" t="s">
        <v>46</v>
      </c>
      <c r="B52" s="12"/>
      <c r="C52" s="45"/>
      <c r="D52" s="11" t="s">
        <v>84</v>
      </c>
      <c r="E52" s="159"/>
      <c r="F52" s="159"/>
      <c r="G52" s="159"/>
      <c r="H52" s="159"/>
      <c r="I52" s="160"/>
    </row>
    <row r="53" spans="1:9" ht="25.5" x14ac:dyDescent="0.25">
      <c r="A53" s="91" t="s">
        <v>187</v>
      </c>
      <c r="B53" s="92" t="s">
        <v>116</v>
      </c>
      <c r="C53" s="94" t="s">
        <v>53</v>
      </c>
      <c r="D53" s="108" t="s">
        <v>34</v>
      </c>
      <c r="E53" s="94" t="s">
        <v>77</v>
      </c>
      <c r="F53" s="95">
        <v>9</v>
      </c>
      <c r="G53" s="101">
        <v>70.150000000000006</v>
      </c>
      <c r="H53" s="101">
        <f t="shared" ref="H53:H58" si="6">ROUND(G53*(1+$G$8),2)</f>
        <v>86.66</v>
      </c>
      <c r="I53" s="109">
        <f t="shared" ref="I53:I58" si="7">ROUND(F53*H53,2)</f>
        <v>779.94</v>
      </c>
    </row>
    <row r="54" spans="1:9" x14ac:dyDescent="0.25">
      <c r="A54" s="91" t="s">
        <v>203</v>
      </c>
      <c r="B54" s="92" t="s">
        <v>116</v>
      </c>
      <c r="C54" s="94" t="s">
        <v>35</v>
      </c>
      <c r="D54" s="108" t="s">
        <v>54</v>
      </c>
      <c r="E54" s="94" t="s">
        <v>77</v>
      </c>
      <c r="F54" s="95">
        <v>9.0500000000000007</v>
      </c>
      <c r="G54" s="101">
        <v>791.64</v>
      </c>
      <c r="H54" s="101">
        <f t="shared" si="6"/>
        <v>977.99</v>
      </c>
      <c r="I54" s="109">
        <f t="shared" si="7"/>
        <v>8850.81</v>
      </c>
    </row>
    <row r="55" spans="1:9" x14ac:dyDescent="0.25">
      <c r="A55" s="91" t="s">
        <v>47</v>
      </c>
      <c r="B55" s="92" t="s">
        <v>116</v>
      </c>
      <c r="C55" s="94" t="s">
        <v>5</v>
      </c>
      <c r="D55" s="108" t="s">
        <v>86</v>
      </c>
      <c r="E55" s="94" t="s">
        <v>77</v>
      </c>
      <c r="F55" s="95">
        <v>3.62</v>
      </c>
      <c r="G55" s="101">
        <v>843.81</v>
      </c>
      <c r="H55" s="101">
        <f t="shared" si="6"/>
        <v>1042.44</v>
      </c>
      <c r="I55" s="109">
        <f t="shared" si="7"/>
        <v>3773.63</v>
      </c>
    </row>
    <row r="56" spans="1:9" ht="63.75" x14ac:dyDescent="0.25">
      <c r="A56" s="91" t="s">
        <v>48</v>
      </c>
      <c r="B56" s="92" t="s">
        <v>116</v>
      </c>
      <c r="C56" s="94" t="s">
        <v>133</v>
      </c>
      <c r="D56" s="108" t="s">
        <v>134</v>
      </c>
      <c r="E56" s="94" t="s">
        <v>59</v>
      </c>
      <c r="F56" s="95">
        <v>180.98</v>
      </c>
      <c r="G56" s="101">
        <v>149.06</v>
      </c>
      <c r="H56" s="101">
        <f t="shared" si="6"/>
        <v>184.15</v>
      </c>
      <c r="I56" s="109">
        <f t="shared" si="7"/>
        <v>33327.47</v>
      </c>
    </row>
    <row r="57" spans="1:9" ht="63.75" x14ac:dyDescent="0.25">
      <c r="A57" s="91" t="s">
        <v>335</v>
      </c>
      <c r="B57" s="92" t="s">
        <v>116</v>
      </c>
      <c r="C57" s="94" t="s">
        <v>266</v>
      </c>
      <c r="D57" s="108" t="s">
        <v>265</v>
      </c>
      <c r="E57" s="94" t="s">
        <v>76</v>
      </c>
      <c r="F57" s="95">
        <v>94.2</v>
      </c>
      <c r="G57" s="101">
        <v>31.14</v>
      </c>
      <c r="H57" s="101">
        <f t="shared" ref="H57" si="8">ROUND(G57*(1+$G$8),2)</f>
        <v>38.47</v>
      </c>
      <c r="I57" s="109">
        <f>ROUND(F57*H57,2)</f>
        <v>3623.87</v>
      </c>
    </row>
    <row r="58" spans="1:9" ht="25.5" x14ac:dyDescent="0.25">
      <c r="A58" s="91" t="s">
        <v>547</v>
      </c>
      <c r="B58" s="92" t="s">
        <v>116</v>
      </c>
      <c r="C58" s="94" t="s">
        <v>87</v>
      </c>
      <c r="D58" s="108" t="s">
        <v>88</v>
      </c>
      <c r="E58" s="94" t="s">
        <v>76</v>
      </c>
      <c r="F58" s="95">
        <v>23</v>
      </c>
      <c r="G58" s="101">
        <v>179.55</v>
      </c>
      <c r="H58" s="101">
        <f t="shared" si="6"/>
        <v>221.82</v>
      </c>
      <c r="I58" s="109">
        <f t="shared" si="7"/>
        <v>5101.8599999999997</v>
      </c>
    </row>
    <row r="59" spans="1:9" s="43" customFormat="1" ht="15.75" x14ac:dyDescent="0.25">
      <c r="A59" s="161"/>
      <c r="B59" s="162"/>
      <c r="C59" s="162"/>
      <c r="D59" s="162"/>
      <c r="E59" s="162"/>
      <c r="F59" s="162"/>
      <c r="G59" s="162"/>
      <c r="H59" s="47" t="s">
        <v>3</v>
      </c>
      <c r="I59" s="66">
        <f>SUM(I53:I58)</f>
        <v>55457.580000000009</v>
      </c>
    </row>
    <row r="60" spans="1:9" s="43" customFormat="1" ht="17.25" customHeight="1" x14ac:dyDescent="0.25">
      <c r="A60" s="161"/>
      <c r="B60" s="162"/>
      <c r="C60" s="162"/>
      <c r="D60" s="162"/>
      <c r="E60" s="162"/>
      <c r="F60" s="162"/>
      <c r="G60" s="162"/>
      <c r="H60" s="162"/>
      <c r="I60" s="163"/>
    </row>
    <row r="61" spans="1:9" ht="17.45" customHeight="1" x14ac:dyDescent="0.25">
      <c r="A61" s="65" t="s">
        <v>188</v>
      </c>
      <c r="B61" s="12"/>
      <c r="C61" s="45"/>
      <c r="D61" s="11" t="s">
        <v>27</v>
      </c>
      <c r="E61" s="159"/>
      <c r="F61" s="159"/>
      <c r="G61" s="159"/>
      <c r="H61" s="159"/>
      <c r="I61" s="160"/>
    </row>
    <row r="62" spans="1:9" ht="30" customHeight="1" x14ac:dyDescent="0.25">
      <c r="A62" s="91" t="s">
        <v>204</v>
      </c>
      <c r="B62" s="92" t="s">
        <v>116</v>
      </c>
      <c r="C62" s="94" t="s">
        <v>205</v>
      </c>
      <c r="D62" s="108" t="s">
        <v>631</v>
      </c>
      <c r="E62" s="94" t="s">
        <v>2</v>
      </c>
      <c r="F62" s="95">
        <v>3384</v>
      </c>
      <c r="G62" s="101">
        <v>28.72</v>
      </c>
      <c r="H62" s="101">
        <f>ROUND(G62*(1+$G$8),2)</f>
        <v>35.479999999999997</v>
      </c>
      <c r="I62" s="109">
        <f t="shared" ref="I62:I68" si="9">ROUND(F62*H62,2)</f>
        <v>120064.32000000001</v>
      </c>
    </row>
    <row r="63" spans="1:9" ht="38.25" x14ac:dyDescent="0.25">
      <c r="A63" s="91" t="s">
        <v>461</v>
      </c>
      <c r="B63" s="92" t="s">
        <v>116</v>
      </c>
      <c r="C63" s="94" t="s">
        <v>268</v>
      </c>
      <c r="D63" s="108" t="s">
        <v>267</v>
      </c>
      <c r="E63" s="94" t="s">
        <v>59</v>
      </c>
      <c r="F63" s="95">
        <v>168.86</v>
      </c>
      <c r="G63" s="101">
        <v>143.94999999999999</v>
      </c>
      <c r="H63" s="101">
        <f>(ROUND(G63*(1+$G$8),2))</f>
        <v>177.84</v>
      </c>
      <c r="I63" s="109">
        <f t="shared" si="9"/>
        <v>30030.06</v>
      </c>
    </row>
    <row r="64" spans="1:9" ht="30" customHeight="1" x14ac:dyDescent="0.25">
      <c r="A64" s="91" t="s">
        <v>206</v>
      </c>
      <c r="B64" s="92" t="s">
        <v>116</v>
      </c>
      <c r="C64" s="94" t="s">
        <v>633</v>
      </c>
      <c r="D64" s="108" t="s">
        <v>632</v>
      </c>
      <c r="E64" s="94" t="s">
        <v>59</v>
      </c>
      <c r="F64" s="95">
        <v>56.74</v>
      </c>
      <c r="G64" s="101">
        <v>144.94999999999999</v>
      </c>
      <c r="H64" s="101">
        <f>(ROUND(G64*(1+$G$8),2))</f>
        <v>179.07</v>
      </c>
      <c r="I64" s="109">
        <f t="shared" ref="I64" si="10">ROUND(F64*H64,2)</f>
        <v>10160.43</v>
      </c>
    </row>
    <row r="65" spans="1:9" ht="25.5" x14ac:dyDescent="0.25">
      <c r="A65" s="91" t="s">
        <v>207</v>
      </c>
      <c r="B65" s="92" t="s">
        <v>116</v>
      </c>
      <c r="C65" s="94" t="s">
        <v>6</v>
      </c>
      <c r="D65" s="108" t="s">
        <v>8</v>
      </c>
      <c r="E65" s="94" t="s">
        <v>76</v>
      </c>
      <c r="F65" s="95">
        <f>16.5+3.5+1.6+12.7845+14.85+5.95+14.85</f>
        <v>70.034500000000008</v>
      </c>
      <c r="G65" s="101">
        <v>161.13</v>
      </c>
      <c r="H65" s="101">
        <f>(ROUND(G65*(1+$G$8),2))</f>
        <v>199.06</v>
      </c>
      <c r="I65" s="109">
        <f t="shared" si="9"/>
        <v>13941.07</v>
      </c>
    </row>
    <row r="66" spans="1:9" ht="25.5" x14ac:dyDescent="0.25">
      <c r="A66" s="91" t="s">
        <v>208</v>
      </c>
      <c r="B66" s="92" t="s">
        <v>116</v>
      </c>
      <c r="C66" s="94" t="s">
        <v>7</v>
      </c>
      <c r="D66" s="108" t="s">
        <v>9</v>
      </c>
      <c r="E66" s="94" t="s">
        <v>76</v>
      </c>
      <c r="F66" s="95">
        <f>14.7+12.57+3.5</f>
        <v>30.77</v>
      </c>
      <c r="G66" s="101">
        <v>118.66</v>
      </c>
      <c r="H66" s="101">
        <f>(ROUND(G66*(1+$G$8),2))</f>
        <v>146.59</v>
      </c>
      <c r="I66" s="109">
        <f t="shared" si="9"/>
        <v>4510.57</v>
      </c>
    </row>
    <row r="67" spans="1:9" ht="44.45" customHeight="1" x14ac:dyDescent="0.25">
      <c r="A67" s="91" t="s">
        <v>240</v>
      </c>
      <c r="B67" s="92" t="s">
        <v>116</v>
      </c>
      <c r="C67" s="94" t="s">
        <v>129</v>
      </c>
      <c r="D67" s="108" t="s">
        <v>130</v>
      </c>
      <c r="E67" s="94" t="s">
        <v>76</v>
      </c>
      <c r="F67" s="95">
        <v>80</v>
      </c>
      <c r="G67" s="101">
        <v>78.52</v>
      </c>
      <c r="H67" s="101">
        <f>ROUND(G67*(1+$G$8),2)</f>
        <v>97</v>
      </c>
      <c r="I67" s="109">
        <f t="shared" si="9"/>
        <v>7760</v>
      </c>
    </row>
    <row r="68" spans="1:9" ht="31.15" customHeight="1" x14ac:dyDescent="0.25">
      <c r="A68" s="91" t="s">
        <v>644</v>
      </c>
      <c r="B68" s="92" t="s">
        <v>116</v>
      </c>
      <c r="C68" s="94" t="s">
        <v>346</v>
      </c>
      <c r="D68" s="108" t="s">
        <v>345</v>
      </c>
      <c r="E68" s="94" t="s">
        <v>59</v>
      </c>
      <c r="F68" s="95">
        <v>75.78</v>
      </c>
      <c r="G68" s="101">
        <v>127.87</v>
      </c>
      <c r="H68" s="101">
        <f>ROUND(G68*(1+$G$8),2)</f>
        <v>157.97</v>
      </c>
      <c r="I68" s="109">
        <f t="shared" si="9"/>
        <v>11970.97</v>
      </c>
    </row>
    <row r="69" spans="1:9" s="43" customFormat="1" ht="21.6" customHeight="1" x14ac:dyDescent="0.25">
      <c r="A69" s="161"/>
      <c r="B69" s="162"/>
      <c r="C69" s="162"/>
      <c r="D69" s="162"/>
      <c r="E69" s="162"/>
      <c r="F69" s="162"/>
      <c r="G69" s="162"/>
      <c r="H69" s="47" t="s">
        <v>3</v>
      </c>
      <c r="I69" s="66">
        <f>SUM(I62:I68)</f>
        <v>198437.42</v>
      </c>
    </row>
    <row r="70" spans="1:9" s="43" customFormat="1" ht="17.25" customHeight="1" x14ac:dyDescent="0.25">
      <c r="A70" s="161"/>
      <c r="B70" s="162"/>
      <c r="C70" s="162"/>
      <c r="D70" s="162"/>
      <c r="E70" s="162"/>
      <c r="F70" s="162"/>
      <c r="G70" s="162"/>
      <c r="H70" s="162"/>
      <c r="I70" s="163"/>
    </row>
    <row r="71" spans="1:9" ht="18.600000000000001" customHeight="1" x14ac:dyDescent="0.25">
      <c r="A71" s="65" t="s">
        <v>49</v>
      </c>
      <c r="B71" s="12"/>
      <c r="C71" s="45"/>
      <c r="D71" s="11" t="s">
        <v>28</v>
      </c>
      <c r="E71" s="159"/>
      <c r="F71" s="159"/>
      <c r="G71" s="159"/>
      <c r="H71" s="159"/>
      <c r="I71" s="160"/>
    </row>
    <row r="72" spans="1:9" ht="18" customHeight="1" x14ac:dyDescent="0.25">
      <c r="A72" s="91" t="s">
        <v>20</v>
      </c>
      <c r="B72" s="92" t="s">
        <v>116</v>
      </c>
      <c r="C72" s="94" t="s">
        <v>637</v>
      </c>
      <c r="D72" s="93" t="s">
        <v>638</v>
      </c>
      <c r="E72" s="94" t="s">
        <v>59</v>
      </c>
      <c r="F72" s="95">
        <v>33.32</v>
      </c>
      <c r="G72" s="96">
        <v>888.55</v>
      </c>
      <c r="H72" s="96">
        <f t="shared" ref="H72:H76" si="11">ROUND(G72*(1+$G$8),2)</f>
        <v>1097.71</v>
      </c>
      <c r="I72" s="97">
        <f t="shared" ref="I72:I76" si="12">ROUND(F72*H72,2)</f>
        <v>36575.699999999997</v>
      </c>
    </row>
    <row r="73" spans="1:9" ht="18.600000000000001" customHeight="1" x14ac:dyDescent="0.25">
      <c r="A73" s="91" t="s">
        <v>135</v>
      </c>
      <c r="B73" s="92" t="s">
        <v>116</v>
      </c>
      <c r="C73" s="98" t="s">
        <v>497</v>
      </c>
      <c r="D73" s="93" t="s">
        <v>498</v>
      </c>
      <c r="E73" s="94" t="s">
        <v>59</v>
      </c>
      <c r="F73" s="95">
        <v>3.78</v>
      </c>
      <c r="G73" s="96">
        <v>533.89</v>
      </c>
      <c r="H73" s="96">
        <f t="shared" si="11"/>
        <v>659.57</v>
      </c>
      <c r="I73" s="97">
        <f t="shared" si="12"/>
        <v>2493.17</v>
      </c>
    </row>
    <row r="74" spans="1:9" ht="38.25" x14ac:dyDescent="0.25">
      <c r="A74" s="91" t="s">
        <v>237</v>
      </c>
      <c r="B74" s="92" t="s">
        <v>116</v>
      </c>
      <c r="C74" s="98" t="s">
        <v>674</v>
      </c>
      <c r="D74" s="93" t="s">
        <v>673</v>
      </c>
      <c r="E74" s="143" t="s">
        <v>271</v>
      </c>
      <c r="F74" s="95">
        <v>2</v>
      </c>
      <c r="G74" s="96">
        <v>641.89</v>
      </c>
      <c r="H74" s="96">
        <f t="shared" ref="H74:H75" si="13">ROUND(G74*(1+$G$8),2)</f>
        <v>792.99</v>
      </c>
      <c r="I74" s="97">
        <f t="shared" ref="I74:I75" si="14">ROUND(F74*H74,2)</f>
        <v>1585.98</v>
      </c>
    </row>
    <row r="75" spans="1:9" ht="31.15" customHeight="1" x14ac:dyDescent="0.25">
      <c r="A75" s="91" t="s">
        <v>136</v>
      </c>
      <c r="B75" s="92" t="s">
        <v>116</v>
      </c>
      <c r="C75" s="94" t="s">
        <v>87</v>
      </c>
      <c r="D75" s="108" t="s">
        <v>88</v>
      </c>
      <c r="E75" s="94" t="s">
        <v>76</v>
      </c>
      <c r="F75" s="95">
        <v>12</v>
      </c>
      <c r="G75" s="101">
        <v>179.55</v>
      </c>
      <c r="H75" s="101">
        <f t="shared" si="13"/>
        <v>221.82</v>
      </c>
      <c r="I75" s="109">
        <f t="shared" si="14"/>
        <v>2661.84</v>
      </c>
    </row>
    <row r="76" spans="1:9" ht="25.5" x14ac:dyDescent="0.25">
      <c r="A76" s="91" t="s">
        <v>137</v>
      </c>
      <c r="B76" s="92" t="s">
        <v>116</v>
      </c>
      <c r="C76" s="99" t="s">
        <v>273</v>
      </c>
      <c r="D76" s="93" t="s">
        <v>272</v>
      </c>
      <c r="E76" s="98" t="s">
        <v>59</v>
      </c>
      <c r="F76" s="95">
        <v>3.2</v>
      </c>
      <c r="G76" s="96">
        <v>517.85</v>
      </c>
      <c r="H76" s="96">
        <f t="shared" si="11"/>
        <v>639.75</v>
      </c>
      <c r="I76" s="97">
        <f t="shared" si="12"/>
        <v>2047.2</v>
      </c>
    </row>
    <row r="77" spans="1:9" ht="21" customHeight="1" x14ac:dyDescent="0.25">
      <c r="A77" s="91" t="s">
        <v>344</v>
      </c>
      <c r="B77" s="92" t="s">
        <v>116</v>
      </c>
      <c r="C77" s="98" t="s">
        <v>499</v>
      </c>
      <c r="D77" s="93" t="s">
        <v>500</v>
      </c>
      <c r="E77" s="98" t="s">
        <v>59</v>
      </c>
      <c r="F77" s="100">
        <v>33.32</v>
      </c>
      <c r="G77" s="101">
        <v>263.88</v>
      </c>
      <c r="H77" s="96">
        <f t="shared" ref="H77" si="15">ROUND(G77*(1+$G$8),2)</f>
        <v>326</v>
      </c>
      <c r="I77" s="97">
        <f t="shared" ref="I77" si="16">ROUND(F77*H77,2)</f>
        <v>10862.32</v>
      </c>
    </row>
    <row r="78" spans="1:9" s="43" customFormat="1" ht="15.75" x14ac:dyDescent="0.25">
      <c r="A78" s="155"/>
      <c r="B78" s="156"/>
      <c r="C78" s="156"/>
      <c r="D78" s="156"/>
      <c r="E78" s="156"/>
      <c r="F78" s="156"/>
      <c r="G78" s="158"/>
      <c r="H78" s="50" t="s">
        <v>3</v>
      </c>
      <c r="I78" s="103">
        <f>SUM(I72:I77)</f>
        <v>56226.21</v>
      </c>
    </row>
    <row r="79" spans="1:9" s="43" customFormat="1" ht="15.4" customHeight="1" x14ac:dyDescent="0.25">
      <c r="A79" s="155"/>
      <c r="B79" s="156"/>
      <c r="C79" s="156"/>
      <c r="D79" s="156"/>
      <c r="E79" s="156"/>
      <c r="F79" s="156"/>
      <c r="G79" s="156"/>
      <c r="H79" s="156"/>
      <c r="I79" s="157"/>
    </row>
    <row r="80" spans="1:9" ht="20.45" customHeight="1" x14ac:dyDescent="0.25">
      <c r="A80" s="65" t="s">
        <v>50</v>
      </c>
      <c r="B80" s="12"/>
      <c r="C80" s="45"/>
      <c r="D80" s="11" t="s">
        <v>140</v>
      </c>
      <c r="E80" s="159"/>
      <c r="F80" s="159"/>
      <c r="G80" s="159"/>
      <c r="H80" s="159"/>
      <c r="I80" s="160"/>
    </row>
    <row r="81" spans="1:9" ht="38.25" x14ac:dyDescent="0.25">
      <c r="A81" s="91" t="s">
        <v>21</v>
      </c>
      <c r="B81" s="92" t="s">
        <v>116</v>
      </c>
      <c r="C81" s="94" t="s">
        <v>348</v>
      </c>
      <c r="D81" s="108" t="s">
        <v>422</v>
      </c>
      <c r="E81" s="94" t="s">
        <v>271</v>
      </c>
      <c r="F81" s="95">
        <v>2</v>
      </c>
      <c r="G81" s="101">
        <v>895.56</v>
      </c>
      <c r="H81" s="101">
        <f t="shared" ref="H81:H97" si="17">ROUND(G81*(1+$G$8),2)</f>
        <v>1106.3699999999999</v>
      </c>
      <c r="I81" s="109">
        <f>H81*F81</f>
        <v>2212.7399999999998</v>
      </c>
    </row>
    <row r="82" spans="1:9" ht="25.5" x14ac:dyDescent="0.25">
      <c r="A82" s="91" t="s">
        <v>513</v>
      </c>
      <c r="B82" s="92" t="s">
        <v>116</v>
      </c>
      <c r="C82" s="94" t="s">
        <v>349</v>
      </c>
      <c r="D82" s="108" t="s">
        <v>415</v>
      </c>
      <c r="E82" s="94" t="s">
        <v>271</v>
      </c>
      <c r="F82" s="95">
        <v>2</v>
      </c>
      <c r="G82" s="101">
        <v>266.01</v>
      </c>
      <c r="H82" s="101">
        <f t="shared" si="17"/>
        <v>328.63</v>
      </c>
      <c r="I82" s="109">
        <f t="shared" ref="I82:I97" si="18">H82*F82</f>
        <v>657.26</v>
      </c>
    </row>
    <row r="83" spans="1:9" ht="25.5" x14ac:dyDescent="0.25">
      <c r="A83" s="91" t="s">
        <v>514</v>
      </c>
      <c r="B83" s="92" t="s">
        <v>116</v>
      </c>
      <c r="C83" s="94" t="s">
        <v>350</v>
      </c>
      <c r="D83" s="108" t="s">
        <v>416</v>
      </c>
      <c r="E83" s="94" t="s">
        <v>271</v>
      </c>
      <c r="F83" s="95">
        <v>10</v>
      </c>
      <c r="G83" s="101">
        <v>168.87</v>
      </c>
      <c r="H83" s="101">
        <f t="shared" si="17"/>
        <v>208.62</v>
      </c>
      <c r="I83" s="109">
        <f t="shared" si="18"/>
        <v>2086.1999999999998</v>
      </c>
    </row>
    <row r="84" spans="1:9" ht="25.5" x14ac:dyDescent="0.25">
      <c r="A84" s="91" t="s">
        <v>515</v>
      </c>
      <c r="B84" s="92" t="s">
        <v>116</v>
      </c>
      <c r="C84" s="94" t="s">
        <v>351</v>
      </c>
      <c r="D84" s="108" t="s">
        <v>417</v>
      </c>
      <c r="E84" s="94" t="s">
        <v>271</v>
      </c>
      <c r="F84" s="95">
        <v>8</v>
      </c>
      <c r="G84" s="101">
        <v>28.31</v>
      </c>
      <c r="H84" s="101">
        <f t="shared" si="17"/>
        <v>34.97</v>
      </c>
      <c r="I84" s="109">
        <f t="shared" si="18"/>
        <v>279.76</v>
      </c>
    </row>
    <row r="85" spans="1:9" ht="25.5" x14ac:dyDescent="0.25">
      <c r="A85" s="91" t="s">
        <v>516</v>
      </c>
      <c r="B85" s="92" t="s">
        <v>116</v>
      </c>
      <c r="C85" s="94" t="s">
        <v>352</v>
      </c>
      <c r="D85" s="108" t="s">
        <v>418</v>
      </c>
      <c r="E85" s="94" t="s">
        <v>76</v>
      </c>
      <c r="F85" s="95">
        <v>50</v>
      </c>
      <c r="G85" s="101">
        <v>104.2</v>
      </c>
      <c r="H85" s="101">
        <f t="shared" si="17"/>
        <v>128.72999999999999</v>
      </c>
      <c r="I85" s="109">
        <f t="shared" si="18"/>
        <v>6436.4999999999991</v>
      </c>
    </row>
    <row r="86" spans="1:9" ht="25.5" x14ac:dyDescent="0.25">
      <c r="A86" s="91" t="s">
        <v>517</v>
      </c>
      <c r="B86" s="92" t="s">
        <v>116</v>
      </c>
      <c r="C86" s="94" t="s">
        <v>585</v>
      </c>
      <c r="D86" s="108" t="s">
        <v>586</v>
      </c>
      <c r="E86" s="94" t="s">
        <v>76</v>
      </c>
      <c r="F86" s="95">
        <v>5</v>
      </c>
      <c r="G86" s="101">
        <v>157.62</v>
      </c>
      <c r="H86" s="101">
        <f t="shared" ref="H86" si="19">ROUND(G86*(1+$G$8),2)</f>
        <v>194.72</v>
      </c>
      <c r="I86" s="109">
        <f t="shared" ref="I86" si="20">H86*F86</f>
        <v>973.6</v>
      </c>
    </row>
    <row r="87" spans="1:9" ht="25.5" x14ac:dyDescent="0.25">
      <c r="A87" s="91" t="s">
        <v>518</v>
      </c>
      <c r="B87" s="92" t="s">
        <v>116</v>
      </c>
      <c r="C87" s="94" t="s">
        <v>353</v>
      </c>
      <c r="D87" s="108" t="s">
        <v>419</v>
      </c>
      <c r="E87" s="94" t="s">
        <v>271</v>
      </c>
      <c r="F87" s="95">
        <v>8</v>
      </c>
      <c r="G87" s="101">
        <v>97.2</v>
      </c>
      <c r="H87" s="101">
        <f t="shared" si="17"/>
        <v>120.08</v>
      </c>
      <c r="I87" s="109">
        <f t="shared" si="18"/>
        <v>960.64</v>
      </c>
    </row>
    <row r="88" spans="1:9" x14ac:dyDescent="0.25">
      <c r="A88" s="91" t="s">
        <v>519</v>
      </c>
      <c r="B88" s="92" t="s">
        <v>116</v>
      </c>
      <c r="C88" s="94" t="s">
        <v>354</v>
      </c>
      <c r="D88" s="108" t="s">
        <v>420</v>
      </c>
      <c r="E88" s="94" t="s">
        <v>271</v>
      </c>
      <c r="F88" s="95">
        <v>35</v>
      </c>
      <c r="G88" s="101">
        <v>33.299999999999997</v>
      </c>
      <c r="H88" s="101">
        <f t="shared" si="17"/>
        <v>41.14</v>
      </c>
      <c r="I88" s="109">
        <f t="shared" si="18"/>
        <v>1439.9</v>
      </c>
    </row>
    <row r="89" spans="1:9" x14ac:dyDescent="0.25">
      <c r="A89" s="91" t="s">
        <v>520</v>
      </c>
      <c r="B89" s="92" t="s">
        <v>116</v>
      </c>
      <c r="C89" s="94" t="s">
        <v>355</v>
      </c>
      <c r="D89" s="108" t="s">
        <v>423</v>
      </c>
      <c r="E89" s="94" t="s">
        <v>271</v>
      </c>
      <c r="F89" s="95">
        <v>20</v>
      </c>
      <c r="G89" s="101">
        <v>29.59</v>
      </c>
      <c r="H89" s="101">
        <f t="shared" si="17"/>
        <v>36.56</v>
      </c>
      <c r="I89" s="109">
        <f t="shared" si="18"/>
        <v>731.2</v>
      </c>
    </row>
    <row r="90" spans="1:9" x14ac:dyDescent="0.25">
      <c r="A90" s="91" t="s">
        <v>645</v>
      </c>
      <c r="B90" s="92" t="s">
        <v>116</v>
      </c>
      <c r="C90" s="94" t="s">
        <v>356</v>
      </c>
      <c r="D90" s="108" t="s">
        <v>424</v>
      </c>
      <c r="E90" s="94" t="s">
        <v>271</v>
      </c>
      <c r="F90" s="95">
        <v>25</v>
      </c>
      <c r="G90" s="101">
        <v>30.67</v>
      </c>
      <c r="H90" s="101">
        <f t="shared" si="17"/>
        <v>37.89</v>
      </c>
      <c r="I90" s="109">
        <f t="shared" si="18"/>
        <v>947.25</v>
      </c>
    </row>
    <row r="91" spans="1:9" ht="38.25" x14ac:dyDescent="0.25">
      <c r="A91" s="91" t="s">
        <v>646</v>
      </c>
      <c r="B91" s="92" t="s">
        <v>116</v>
      </c>
      <c r="C91" s="94" t="s">
        <v>357</v>
      </c>
      <c r="D91" s="108" t="s">
        <v>425</v>
      </c>
      <c r="E91" s="94" t="s">
        <v>76</v>
      </c>
      <c r="F91" s="95">
        <v>361.3</v>
      </c>
      <c r="G91" s="101">
        <v>4.24</v>
      </c>
      <c r="H91" s="101">
        <f t="shared" si="17"/>
        <v>5.24</v>
      </c>
      <c r="I91" s="109">
        <f t="shared" si="18"/>
        <v>1893.2120000000002</v>
      </c>
    </row>
    <row r="92" spans="1:9" ht="38.25" x14ac:dyDescent="0.25">
      <c r="A92" s="91" t="s">
        <v>647</v>
      </c>
      <c r="B92" s="92" t="s">
        <v>116</v>
      </c>
      <c r="C92" s="94" t="s">
        <v>358</v>
      </c>
      <c r="D92" s="108" t="s">
        <v>426</v>
      </c>
      <c r="E92" s="94" t="s">
        <v>76</v>
      </c>
      <c r="F92" s="95">
        <v>1032.9000000000001</v>
      </c>
      <c r="G92" s="101">
        <v>5.9</v>
      </c>
      <c r="H92" s="101">
        <f t="shared" si="17"/>
        <v>7.29</v>
      </c>
      <c r="I92" s="109">
        <f t="shared" si="18"/>
        <v>7529.8410000000003</v>
      </c>
    </row>
    <row r="93" spans="1:9" ht="38.25" x14ac:dyDescent="0.25">
      <c r="A93" s="91" t="s">
        <v>648</v>
      </c>
      <c r="B93" s="92" t="s">
        <v>116</v>
      </c>
      <c r="C93" s="94" t="s">
        <v>359</v>
      </c>
      <c r="D93" s="108" t="s">
        <v>427</v>
      </c>
      <c r="E93" s="94" t="s">
        <v>76</v>
      </c>
      <c r="F93" s="95">
        <v>262.7</v>
      </c>
      <c r="G93" s="101">
        <v>10.35</v>
      </c>
      <c r="H93" s="101">
        <f t="shared" si="17"/>
        <v>12.79</v>
      </c>
      <c r="I93" s="109">
        <f t="shared" si="18"/>
        <v>3359.9329999999995</v>
      </c>
    </row>
    <row r="94" spans="1:9" ht="38.25" x14ac:dyDescent="0.25">
      <c r="A94" s="91" t="s">
        <v>649</v>
      </c>
      <c r="B94" s="92" t="s">
        <v>116</v>
      </c>
      <c r="C94" s="94" t="s">
        <v>627</v>
      </c>
      <c r="D94" s="108" t="s">
        <v>584</v>
      </c>
      <c r="E94" s="94" t="s">
        <v>76</v>
      </c>
      <c r="F94" s="95">
        <v>23</v>
      </c>
      <c r="G94" s="101">
        <v>130.82</v>
      </c>
      <c r="H94" s="101">
        <f t="shared" ref="H94" si="21">ROUND(G94*(1+$G$8),2)</f>
        <v>161.62</v>
      </c>
      <c r="I94" s="109">
        <f t="shared" ref="I94" si="22">H94*F94</f>
        <v>3717.26</v>
      </c>
    </row>
    <row r="95" spans="1:9" ht="25.5" x14ac:dyDescent="0.25">
      <c r="A95" s="91" t="s">
        <v>650</v>
      </c>
      <c r="B95" s="92" t="s">
        <v>116</v>
      </c>
      <c r="C95" s="94" t="s">
        <v>360</v>
      </c>
      <c r="D95" s="108" t="s">
        <v>428</v>
      </c>
      <c r="E95" s="94" t="s">
        <v>76</v>
      </c>
      <c r="F95" s="95">
        <v>36</v>
      </c>
      <c r="G95" s="101">
        <v>36.159999999999997</v>
      </c>
      <c r="H95" s="101">
        <f t="shared" si="17"/>
        <v>44.67</v>
      </c>
      <c r="I95" s="109">
        <f t="shared" si="18"/>
        <v>1608.1200000000001</v>
      </c>
    </row>
    <row r="96" spans="1:9" ht="25.5" x14ac:dyDescent="0.25">
      <c r="A96" s="91" t="s">
        <v>651</v>
      </c>
      <c r="B96" s="92" t="s">
        <v>116</v>
      </c>
      <c r="C96" s="94" t="s">
        <v>361</v>
      </c>
      <c r="D96" s="108" t="s">
        <v>421</v>
      </c>
      <c r="E96" s="94" t="s">
        <v>271</v>
      </c>
      <c r="F96" s="95">
        <v>14</v>
      </c>
      <c r="G96" s="101">
        <v>24.34</v>
      </c>
      <c r="H96" s="101">
        <f t="shared" si="17"/>
        <v>30.07</v>
      </c>
      <c r="I96" s="109">
        <f t="shared" si="18"/>
        <v>420.98</v>
      </c>
    </row>
    <row r="97" spans="1:9" x14ac:dyDescent="0.25">
      <c r="A97" s="91" t="s">
        <v>652</v>
      </c>
      <c r="B97" s="92" t="s">
        <v>116</v>
      </c>
      <c r="C97" s="94" t="s">
        <v>362</v>
      </c>
      <c r="D97" s="108" t="s">
        <v>429</v>
      </c>
      <c r="E97" s="94" t="s">
        <v>271</v>
      </c>
      <c r="F97" s="95">
        <v>12</v>
      </c>
      <c r="G97" s="101">
        <v>20.36</v>
      </c>
      <c r="H97" s="101">
        <f t="shared" si="17"/>
        <v>25.15</v>
      </c>
      <c r="I97" s="109">
        <f t="shared" si="18"/>
        <v>301.79999999999995</v>
      </c>
    </row>
    <row r="98" spans="1:9" ht="25.5" x14ac:dyDescent="0.25">
      <c r="A98" s="91" t="s">
        <v>653</v>
      </c>
      <c r="B98" s="92" t="s">
        <v>558</v>
      </c>
      <c r="C98" s="94">
        <v>103782</v>
      </c>
      <c r="D98" s="108" t="s">
        <v>591</v>
      </c>
      <c r="E98" s="94" t="s">
        <v>271</v>
      </c>
      <c r="F98" s="95">
        <v>58</v>
      </c>
      <c r="G98" s="101">
        <v>43.59</v>
      </c>
      <c r="H98" s="101">
        <f t="shared" ref="H98" si="23">ROUND(G98*(1+$G$8),2)</f>
        <v>53.85</v>
      </c>
      <c r="I98" s="109">
        <f t="shared" ref="I98" si="24">H98*F98</f>
        <v>3123.3</v>
      </c>
    </row>
    <row r="99" spans="1:9" s="43" customFormat="1" ht="15.75" x14ac:dyDescent="0.25">
      <c r="A99" s="161"/>
      <c r="B99" s="162"/>
      <c r="C99" s="162"/>
      <c r="D99" s="162"/>
      <c r="E99" s="162"/>
      <c r="F99" s="162"/>
      <c r="G99" s="162"/>
      <c r="H99" s="47" t="s">
        <v>3</v>
      </c>
      <c r="I99" s="66">
        <f>SUM(I81:I98)</f>
        <v>38679.496000000014</v>
      </c>
    </row>
    <row r="100" spans="1:9" s="43" customFormat="1" ht="15.4" customHeight="1" x14ac:dyDescent="0.25">
      <c r="A100" s="155"/>
      <c r="B100" s="156"/>
      <c r="C100" s="156"/>
      <c r="D100" s="156"/>
      <c r="E100" s="156"/>
      <c r="F100" s="156"/>
      <c r="G100" s="156"/>
      <c r="H100" s="156"/>
      <c r="I100" s="157"/>
    </row>
    <row r="101" spans="1:9" ht="19.899999999999999" customHeight="1" x14ac:dyDescent="0.25">
      <c r="A101" s="65" t="s">
        <v>215</v>
      </c>
      <c r="B101" s="12"/>
      <c r="C101" s="45"/>
      <c r="D101" s="11" t="s">
        <v>141</v>
      </c>
      <c r="E101" s="159" t="s">
        <v>145</v>
      </c>
      <c r="F101" s="159"/>
      <c r="G101" s="159"/>
      <c r="H101" s="159"/>
      <c r="I101" s="160"/>
    </row>
    <row r="102" spans="1:9" ht="25.5" x14ac:dyDescent="0.25">
      <c r="A102" s="127" t="s">
        <v>241</v>
      </c>
      <c r="B102" s="98" t="s">
        <v>116</v>
      </c>
      <c r="C102" s="98" t="s">
        <v>276</v>
      </c>
      <c r="D102" s="93" t="s">
        <v>277</v>
      </c>
      <c r="E102" s="143" t="s">
        <v>271</v>
      </c>
      <c r="F102" s="100">
        <v>1</v>
      </c>
      <c r="G102" s="101">
        <v>1538.01</v>
      </c>
      <c r="H102" s="101">
        <f>ROUND(G102*(1+$G$8),2)</f>
        <v>1900.06</v>
      </c>
      <c r="I102" s="109">
        <f t="shared" ref="I102" si="25">ROUND(F102*H102,2)</f>
        <v>1900.06</v>
      </c>
    </row>
    <row r="103" spans="1:9" ht="25.5" x14ac:dyDescent="0.25">
      <c r="A103" s="127" t="s">
        <v>363</v>
      </c>
      <c r="B103" s="98" t="s">
        <v>116</v>
      </c>
      <c r="C103" s="98" t="s">
        <v>278</v>
      </c>
      <c r="D103" s="93" t="s">
        <v>281</v>
      </c>
      <c r="E103" s="98" t="s">
        <v>76</v>
      </c>
      <c r="F103" s="100">
        <v>161.80000000000001</v>
      </c>
      <c r="G103" s="101">
        <v>33.909999999999997</v>
      </c>
      <c r="H103" s="101">
        <f t="shared" ref="H103:H119" si="26">ROUND(G103*(1+$G$8),2)</f>
        <v>41.89</v>
      </c>
      <c r="I103" s="109">
        <f t="shared" ref="I103:I119" si="27">ROUND(F103*H103,2)</f>
        <v>6777.8</v>
      </c>
    </row>
    <row r="104" spans="1:9" ht="25.5" x14ac:dyDescent="0.25">
      <c r="A104" s="127" t="s">
        <v>365</v>
      </c>
      <c r="B104" s="98" t="s">
        <v>116</v>
      </c>
      <c r="C104" s="98" t="s">
        <v>279</v>
      </c>
      <c r="D104" s="93" t="s">
        <v>282</v>
      </c>
      <c r="E104" s="98" t="s">
        <v>76</v>
      </c>
      <c r="F104" s="100">
        <v>35.799999999999997</v>
      </c>
      <c r="G104" s="101">
        <v>41.7</v>
      </c>
      <c r="H104" s="101">
        <f t="shared" si="26"/>
        <v>51.52</v>
      </c>
      <c r="I104" s="109">
        <f t="shared" si="27"/>
        <v>1844.42</v>
      </c>
    </row>
    <row r="105" spans="1:9" ht="25.5" x14ac:dyDescent="0.25">
      <c r="A105" s="127" t="s">
        <v>366</v>
      </c>
      <c r="B105" s="98" t="s">
        <v>116</v>
      </c>
      <c r="C105" s="98" t="s">
        <v>280</v>
      </c>
      <c r="D105" s="93" t="s">
        <v>283</v>
      </c>
      <c r="E105" s="98" t="s">
        <v>76</v>
      </c>
      <c r="F105" s="100">
        <v>4.2</v>
      </c>
      <c r="G105" s="101">
        <v>54.38</v>
      </c>
      <c r="H105" s="101">
        <f t="shared" si="26"/>
        <v>67.180000000000007</v>
      </c>
      <c r="I105" s="109">
        <f t="shared" ref="I105:I107" si="28">ROUND(F105*H105,2)</f>
        <v>282.16000000000003</v>
      </c>
    </row>
    <row r="106" spans="1:9" ht="38.25" x14ac:dyDescent="0.25">
      <c r="A106" s="127" t="s">
        <v>367</v>
      </c>
      <c r="B106" s="98" t="s">
        <v>116</v>
      </c>
      <c r="C106" s="98" t="s">
        <v>284</v>
      </c>
      <c r="D106" s="93" t="s">
        <v>287</v>
      </c>
      <c r="E106" s="98" t="s">
        <v>76</v>
      </c>
      <c r="F106" s="100">
        <v>23.7</v>
      </c>
      <c r="G106" s="101">
        <v>40.520000000000003</v>
      </c>
      <c r="H106" s="101">
        <f t="shared" si="26"/>
        <v>50.06</v>
      </c>
      <c r="I106" s="109">
        <f t="shared" si="28"/>
        <v>1186.42</v>
      </c>
    </row>
    <row r="107" spans="1:9" ht="38.25" x14ac:dyDescent="0.25">
      <c r="A107" s="127" t="s">
        <v>364</v>
      </c>
      <c r="B107" s="98" t="s">
        <v>116</v>
      </c>
      <c r="C107" s="98" t="s">
        <v>285</v>
      </c>
      <c r="D107" s="93" t="s">
        <v>288</v>
      </c>
      <c r="E107" s="98" t="s">
        <v>76</v>
      </c>
      <c r="F107" s="100">
        <v>50.4</v>
      </c>
      <c r="G107" s="101">
        <v>49.89</v>
      </c>
      <c r="H107" s="101">
        <f t="shared" si="26"/>
        <v>61.63</v>
      </c>
      <c r="I107" s="109">
        <f t="shared" si="28"/>
        <v>3106.15</v>
      </c>
    </row>
    <row r="108" spans="1:9" ht="38.25" x14ac:dyDescent="0.25">
      <c r="A108" s="127" t="s">
        <v>368</v>
      </c>
      <c r="B108" s="98" t="s">
        <v>116</v>
      </c>
      <c r="C108" s="98" t="s">
        <v>286</v>
      </c>
      <c r="D108" s="93" t="s">
        <v>289</v>
      </c>
      <c r="E108" s="98" t="s">
        <v>76</v>
      </c>
      <c r="F108" s="100">
        <v>93.3</v>
      </c>
      <c r="G108" s="101">
        <v>85.92</v>
      </c>
      <c r="H108" s="101">
        <f t="shared" si="26"/>
        <v>106.15</v>
      </c>
      <c r="I108" s="109">
        <f t="shared" si="27"/>
        <v>9903.7999999999993</v>
      </c>
    </row>
    <row r="109" spans="1:9" ht="25.5" x14ac:dyDescent="0.25">
      <c r="A109" s="127" t="s">
        <v>369</v>
      </c>
      <c r="B109" s="98" t="s">
        <v>116</v>
      </c>
      <c r="C109" s="98" t="s">
        <v>290</v>
      </c>
      <c r="D109" s="93" t="s">
        <v>291</v>
      </c>
      <c r="E109" s="143" t="s">
        <v>271</v>
      </c>
      <c r="F109" s="100">
        <v>1</v>
      </c>
      <c r="G109" s="101">
        <v>626.16999999999996</v>
      </c>
      <c r="H109" s="101">
        <f t="shared" si="26"/>
        <v>773.57</v>
      </c>
      <c r="I109" s="109">
        <f t="shared" si="27"/>
        <v>773.57</v>
      </c>
    </row>
    <row r="110" spans="1:9" ht="25.5" x14ac:dyDescent="0.25">
      <c r="A110" s="127" t="s">
        <v>370</v>
      </c>
      <c r="B110" s="98" t="s">
        <v>116</v>
      </c>
      <c r="C110" s="98" t="s">
        <v>323</v>
      </c>
      <c r="D110" s="93" t="s">
        <v>322</v>
      </c>
      <c r="E110" s="143" t="s">
        <v>271</v>
      </c>
      <c r="F110" s="100">
        <v>7</v>
      </c>
      <c r="G110" s="101">
        <v>69.56</v>
      </c>
      <c r="H110" s="101">
        <f t="shared" si="26"/>
        <v>85.93</v>
      </c>
      <c r="I110" s="109">
        <f t="shared" si="27"/>
        <v>601.51</v>
      </c>
    </row>
    <row r="111" spans="1:9" ht="25.5" x14ac:dyDescent="0.25">
      <c r="A111" s="127" t="s">
        <v>371</v>
      </c>
      <c r="B111" s="98" t="s">
        <v>116</v>
      </c>
      <c r="C111" s="98" t="s">
        <v>325</v>
      </c>
      <c r="D111" s="93" t="s">
        <v>324</v>
      </c>
      <c r="E111" s="143" t="s">
        <v>271</v>
      </c>
      <c r="F111" s="100">
        <v>3</v>
      </c>
      <c r="G111" s="101">
        <v>71.66</v>
      </c>
      <c r="H111" s="101">
        <f t="shared" si="26"/>
        <v>88.53</v>
      </c>
      <c r="I111" s="109">
        <f t="shared" ref="I111" si="29">ROUND(F111*H111,2)</f>
        <v>265.58999999999997</v>
      </c>
    </row>
    <row r="112" spans="1:9" ht="25.5" x14ac:dyDescent="0.25">
      <c r="A112" s="127" t="s">
        <v>372</v>
      </c>
      <c r="B112" s="98" t="s">
        <v>116</v>
      </c>
      <c r="C112" s="98" t="s">
        <v>327</v>
      </c>
      <c r="D112" s="93" t="s">
        <v>326</v>
      </c>
      <c r="E112" s="143" t="s">
        <v>271</v>
      </c>
      <c r="F112" s="100">
        <v>4</v>
      </c>
      <c r="G112" s="101">
        <v>109.73</v>
      </c>
      <c r="H112" s="101">
        <f t="shared" si="26"/>
        <v>135.56</v>
      </c>
      <c r="I112" s="109">
        <f t="shared" ref="I112:I115" si="30">ROUND(F112*H112,2)</f>
        <v>542.24</v>
      </c>
    </row>
    <row r="113" spans="1:11" ht="20.45" customHeight="1" x14ac:dyDescent="0.25">
      <c r="A113" s="127" t="s">
        <v>373</v>
      </c>
      <c r="B113" s="98" t="s">
        <v>116</v>
      </c>
      <c r="C113" s="98" t="s">
        <v>560</v>
      </c>
      <c r="D113" s="93" t="s">
        <v>328</v>
      </c>
      <c r="E113" s="143" t="s">
        <v>271</v>
      </c>
      <c r="F113" s="100">
        <v>3</v>
      </c>
      <c r="G113" s="101">
        <v>90.46</v>
      </c>
      <c r="H113" s="101">
        <f t="shared" si="26"/>
        <v>111.75</v>
      </c>
      <c r="I113" s="109">
        <f t="shared" si="30"/>
        <v>335.25</v>
      </c>
    </row>
    <row r="114" spans="1:11" ht="27" customHeight="1" x14ac:dyDescent="0.25">
      <c r="A114" s="127" t="s">
        <v>374</v>
      </c>
      <c r="B114" s="98" t="s">
        <v>116</v>
      </c>
      <c r="C114" s="98" t="s">
        <v>412</v>
      </c>
      <c r="D114" s="93" t="s">
        <v>468</v>
      </c>
      <c r="E114" s="143" t="s">
        <v>271</v>
      </c>
      <c r="F114" s="100">
        <v>3</v>
      </c>
      <c r="G114" s="101">
        <v>214.77</v>
      </c>
      <c r="H114" s="101">
        <f t="shared" si="26"/>
        <v>265.33</v>
      </c>
      <c r="I114" s="109">
        <f t="shared" si="30"/>
        <v>795.99</v>
      </c>
    </row>
    <row r="115" spans="1:11" x14ac:dyDescent="0.25">
      <c r="A115" s="127" t="s">
        <v>375</v>
      </c>
      <c r="B115" s="98" t="s">
        <v>116</v>
      </c>
      <c r="C115" s="98" t="s">
        <v>469</v>
      </c>
      <c r="D115" s="93" t="s">
        <v>470</v>
      </c>
      <c r="E115" s="98" t="s">
        <v>59</v>
      </c>
      <c r="F115" s="100">
        <f>(1.2*0.2*2)+(17.6*0.1)</f>
        <v>2.2400000000000002</v>
      </c>
      <c r="G115" s="101">
        <v>1258.51</v>
      </c>
      <c r="H115" s="101">
        <f t="shared" si="26"/>
        <v>1554.76</v>
      </c>
      <c r="I115" s="109">
        <f t="shared" si="30"/>
        <v>3482.66</v>
      </c>
    </row>
    <row r="116" spans="1:11" x14ac:dyDescent="0.25">
      <c r="A116" s="127" t="s">
        <v>376</v>
      </c>
      <c r="B116" s="98" t="s">
        <v>116</v>
      </c>
      <c r="C116" s="98" t="s">
        <v>314</v>
      </c>
      <c r="D116" s="93" t="s">
        <v>317</v>
      </c>
      <c r="E116" s="143" t="s">
        <v>271</v>
      </c>
      <c r="F116" s="100">
        <v>4</v>
      </c>
      <c r="G116" s="101">
        <v>14.34</v>
      </c>
      <c r="H116" s="101">
        <f t="shared" si="26"/>
        <v>17.72</v>
      </c>
      <c r="I116" s="109">
        <f t="shared" si="27"/>
        <v>70.88</v>
      </c>
    </row>
    <row r="117" spans="1:11" x14ac:dyDescent="0.25">
      <c r="A117" s="127" t="s">
        <v>377</v>
      </c>
      <c r="B117" s="98" t="s">
        <v>116</v>
      </c>
      <c r="C117" s="98" t="s">
        <v>315</v>
      </c>
      <c r="D117" s="93" t="s">
        <v>316</v>
      </c>
      <c r="E117" s="143" t="s">
        <v>271</v>
      </c>
      <c r="F117" s="100">
        <v>7</v>
      </c>
      <c r="G117" s="101">
        <v>32.4</v>
      </c>
      <c r="H117" s="101">
        <f t="shared" si="26"/>
        <v>40.03</v>
      </c>
      <c r="I117" s="109">
        <f t="shared" si="27"/>
        <v>280.20999999999998</v>
      </c>
    </row>
    <row r="118" spans="1:11" x14ac:dyDescent="0.25">
      <c r="A118" s="127" t="s">
        <v>378</v>
      </c>
      <c r="B118" s="98" t="s">
        <v>116</v>
      </c>
      <c r="C118" s="98" t="s">
        <v>318</v>
      </c>
      <c r="D118" s="93" t="s">
        <v>319</v>
      </c>
      <c r="E118" s="143" t="s">
        <v>271</v>
      </c>
      <c r="F118" s="100">
        <v>4</v>
      </c>
      <c r="G118" s="101">
        <v>42.14</v>
      </c>
      <c r="H118" s="101">
        <f t="shared" si="26"/>
        <v>52.06</v>
      </c>
      <c r="I118" s="109">
        <f t="shared" si="27"/>
        <v>208.24</v>
      </c>
    </row>
    <row r="119" spans="1:11" x14ac:dyDescent="0.25">
      <c r="A119" s="127" t="s">
        <v>379</v>
      </c>
      <c r="B119" s="98" t="s">
        <v>116</v>
      </c>
      <c r="C119" s="98" t="s">
        <v>320</v>
      </c>
      <c r="D119" s="93" t="s">
        <v>321</v>
      </c>
      <c r="E119" s="143" t="s">
        <v>271</v>
      </c>
      <c r="F119" s="100">
        <v>7</v>
      </c>
      <c r="G119" s="101">
        <v>42.5</v>
      </c>
      <c r="H119" s="101">
        <f t="shared" si="26"/>
        <v>52.5</v>
      </c>
      <c r="I119" s="109">
        <f t="shared" si="27"/>
        <v>367.5</v>
      </c>
    </row>
    <row r="120" spans="1:11" ht="25.5" x14ac:dyDescent="0.25">
      <c r="A120" s="127" t="s">
        <v>380</v>
      </c>
      <c r="B120" s="98" t="s">
        <v>116</v>
      </c>
      <c r="C120" s="98" t="s">
        <v>26</v>
      </c>
      <c r="D120" s="93" t="s">
        <v>472</v>
      </c>
      <c r="E120" s="98" t="s">
        <v>77</v>
      </c>
      <c r="F120" s="100">
        <v>2</v>
      </c>
      <c r="G120" s="101">
        <v>68.13</v>
      </c>
      <c r="H120" s="101">
        <f t="shared" ref="H120" si="31">ROUND(G120*(1+$G$8),2)</f>
        <v>84.17</v>
      </c>
      <c r="I120" s="109">
        <f t="shared" ref="I120" si="32">ROUND(F120*H120,2)</f>
        <v>168.34</v>
      </c>
    </row>
    <row r="121" spans="1:11" x14ac:dyDescent="0.25">
      <c r="A121" s="127" t="s">
        <v>381</v>
      </c>
      <c r="B121" s="98" t="s">
        <v>116</v>
      </c>
      <c r="C121" s="98" t="s">
        <v>125</v>
      </c>
      <c r="D121" s="93" t="s">
        <v>471</v>
      </c>
      <c r="E121" s="98" t="s">
        <v>59</v>
      </c>
      <c r="F121" s="100">
        <f>0.6*0.6*4*2</f>
        <v>2.88</v>
      </c>
      <c r="G121" s="101">
        <v>76.540000000000006</v>
      </c>
      <c r="H121" s="101">
        <f t="shared" ref="H121" si="33">ROUND(G121*(1+$G$8),2)</f>
        <v>94.56</v>
      </c>
      <c r="I121" s="109">
        <f t="shared" ref="I121" si="34">ROUND(F121*H121,2)</f>
        <v>272.33</v>
      </c>
    </row>
    <row r="122" spans="1:11" x14ac:dyDescent="0.25">
      <c r="A122" s="127" t="s">
        <v>654</v>
      </c>
      <c r="B122" s="98" t="s">
        <v>116</v>
      </c>
      <c r="C122" s="98" t="s">
        <v>82</v>
      </c>
      <c r="D122" s="93" t="s">
        <v>212</v>
      </c>
      <c r="E122" s="98" t="s">
        <v>59</v>
      </c>
      <c r="F122" s="100">
        <f>0.6*0.6*4*2</f>
        <v>2.88</v>
      </c>
      <c r="G122" s="101">
        <v>7.73</v>
      </c>
      <c r="H122" s="101">
        <f t="shared" ref="H122:H125" si="35">ROUND(G122*(1+$G$8),2)</f>
        <v>9.5500000000000007</v>
      </c>
      <c r="I122" s="109">
        <f t="shared" ref="I122:I125" si="36">ROUND(F122*H122,2)</f>
        <v>27.5</v>
      </c>
    </row>
    <row r="123" spans="1:11" x14ac:dyDescent="0.25">
      <c r="A123" s="127" t="s">
        <v>655</v>
      </c>
      <c r="B123" s="98" t="s">
        <v>116</v>
      </c>
      <c r="C123" s="98" t="s">
        <v>78</v>
      </c>
      <c r="D123" s="93" t="s">
        <v>79</v>
      </c>
      <c r="E123" s="98" t="s">
        <v>59</v>
      </c>
      <c r="F123" s="100">
        <f>0.6*0.6*4*2</f>
        <v>2.88</v>
      </c>
      <c r="G123" s="101">
        <v>24.69</v>
      </c>
      <c r="H123" s="101">
        <f t="shared" si="35"/>
        <v>30.5</v>
      </c>
      <c r="I123" s="109">
        <f t="shared" si="36"/>
        <v>87.84</v>
      </c>
    </row>
    <row r="124" spans="1:11" x14ac:dyDescent="0.25">
      <c r="A124" s="127" t="s">
        <v>656</v>
      </c>
      <c r="B124" s="98" t="s">
        <v>116</v>
      </c>
      <c r="C124" s="110" t="s">
        <v>561</v>
      </c>
      <c r="D124" s="93" t="s">
        <v>473</v>
      </c>
      <c r="E124" s="98" t="s">
        <v>77</v>
      </c>
      <c r="F124" s="100">
        <f>(0.06*2)+(0.6*0.6*0.05*2)</f>
        <v>0.156</v>
      </c>
      <c r="G124" s="101">
        <v>557.20000000000005</v>
      </c>
      <c r="H124" s="101">
        <f t="shared" si="35"/>
        <v>688.36</v>
      </c>
      <c r="I124" s="109">
        <f t="shared" si="36"/>
        <v>107.38</v>
      </c>
    </row>
    <row r="125" spans="1:11" x14ac:dyDescent="0.25">
      <c r="A125" s="127" t="s">
        <v>657</v>
      </c>
      <c r="B125" s="98" t="s">
        <v>116</v>
      </c>
      <c r="C125" s="98" t="s">
        <v>454</v>
      </c>
      <c r="D125" s="93" t="s">
        <v>455</v>
      </c>
      <c r="E125" s="98" t="s">
        <v>2</v>
      </c>
      <c r="F125" s="100">
        <f>3.44*2</f>
        <v>6.88</v>
      </c>
      <c r="G125" s="101">
        <v>9.85</v>
      </c>
      <c r="H125" s="101">
        <f t="shared" si="35"/>
        <v>12.17</v>
      </c>
      <c r="I125" s="109">
        <f t="shared" si="36"/>
        <v>83.73</v>
      </c>
    </row>
    <row r="126" spans="1:11" s="43" customFormat="1" ht="15.75" x14ac:dyDescent="0.25">
      <c r="A126" s="155"/>
      <c r="B126" s="156"/>
      <c r="C126" s="156"/>
      <c r="D126" s="156"/>
      <c r="E126" s="156"/>
      <c r="F126" s="156"/>
      <c r="G126" s="158"/>
      <c r="H126" s="50" t="s">
        <v>3</v>
      </c>
      <c r="I126" s="68">
        <f>SUM(I102:I125)</f>
        <v>33471.57</v>
      </c>
      <c r="K126" s="72"/>
    </row>
    <row r="127" spans="1:11" s="43" customFormat="1" ht="15.4" customHeight="1" x14ac:dyDescent="0.25">
      <c r="A127" s="155"/>
      <c r="B127" s="156"/>
      <c r="C127" s="156"/>
      <c r="D127" s="156"/>
      <c r="E127" s="156"/>
      <c r="F127" s="156"/>
      <c r="G127" s="156"/>
      <c r="H127" s="156"/>
      <c r="I127" s="157"/>
    </row>
    <row r="128" spans="1:11" ht="14.25" customHeight="1" x14ac:dyDescent="0.25">
      <c r="A128" s="65" t="s">
        <v>89</v>
      </c>
      <c r="B128" s="12"/>
      <c r="C128" s="45"/>
      <c r="D128" s="11" t="s">
        <v>555</v>
      </c>
      <c r="E128" s="159"/>
      <c r="F128" s="159"/>
      <c r="G128" s="159"/>
      <c r="H128" s="159"/>
      <c r="I128" s="160"/>
    </row>
    <row r="129" spans="1:9" ht="25.5" x14ac:dyDescent="0.25">
      <c r="A129" s="91" t="s">
        <v>385</v>
      </c>
      <c r="B129" s="92" t="s">
        <v>116</v>
      </c>
      <c r="C129" s="94" t="s">
        <v>296</v>
      </c>
      <c r="D129" s="93" t="s">
        <v>297</v>
      </c>
      <c r="E129" s="98" t="s">
        <v>59</v>
      </c>
      <c r="F129" s="95">
        <f>(0.5*0.8*4)+(0.6*0.4*2)+(1.6*0.5)+(0.3*1)+(1.45*0.5)</f>
        <v>3.9049999999999998</v>
      </c>
      <c r="G129" s="96">
        <v>1040.3699999999999</v>
      </c>
      <c r="H129" s="96">
        <f>ROUND(G129*(1+$G$8),2)</f>
        <v>1285.27</v>
      </c>
      <c r="I129" s="109">
        <f t="shared" ref="I129" si="37">ROUND(F129*H129,2)</f>
        <v>5018.9799999999996</v>
      </c>
    </row>
    <row r="130" spans="1:9" x14ac:dyDescent="0.25">
      <c r="A130" s="91" t="s">
        <v>386</v>
      </c>
      <c r="B130" s="92" t="s">
        <v>116</v>
      </c>
      <c r="C130" s="94" t="s">
        <v>292</v>
      </c>
      <c r="D130" s="93" t="s">
        <v>293</v>
      </c>
      <c r="E130" s="143" t="s">
        <v>271</v>
      </c>
      <c r="F130" s="95">
        <v>6</v>
      </c>
      <c r="G130" s="96">
        <v>144.72</v>
      </c>
      <c r="H130" s="96">
        <f t="shared" ref="H130:H141" si="38">ROUND(G130*(1+$G$8),2)</f>
        <v>178.79</v>
      </c>
      <c r="I130" s="109">
        <f t="shared" ref="I130:I141" si="39">ROUND(F130*H130,2)</f>
        <v>1072.74</v>
      </c>
    </row>
    <row r="131" spans="1:9" x14ac:dyDescent="0.25">
      <c r="A131" s="91" t="s">
        <v>387</v>
      </c>
      <c r="B131" s="92" t="s">
        <v>116</v>
      </c>
      <c r="C131" s="94" t="s">
        <v>312</v>
      </c>
      <c r="D131" s="93" t="s">
        <v>313</v>
      </c>
      <c r="E131" s="143" t="s">
        <v>271</v>
      </c>
      <c r="F131" s="95">
        <v>1</v>
      </c>
      <c r="G131" s="96">
        <v>295.61</v>
      </c>
      <c r="H131" s="96">
        <f t="shared" si="38"/>
        <v>365.2</v>
      </c>
      <c r="I131" s="109">
        <f t="shared" ref="I131" si="40">ROUND(F131*H131,2)</f>
        <v>365.2</v>
      </c>
    </row>
    <row r="132" spans="1:9" ht="25.5" x14ac:dyDescent="0.25">
      <c r="A132" s="91" t="s">
        <v>388</v>
      </c>
      <c r="B132" s="92" t="s">
        <v>116</v>
      </c>
      <c r="C132" s="98" t="s">
        <v>294</v>
      </c>
      <c r="D132" s="93" t="s">
        <v>295</v>
      </c>
      <c r="E132" s="98" t="s">
        <v>92</v>
      </c>
      <c r="F132" s="100">
        <v>4</v>
      </c>
      <c r="G132" s="101">
        <v>1139.33</v>
      </c>
      <c r="H132" s="96">
        <f t="shared" si="38"/>
        <v>1407.53</v>
      </c>
      <c r="I132" s="109">
        <f t="shared" si="39"/>
        <v>5630.12</v>
      </c>
    </row>
    <row r="133" spans="1:9" ht="19.899999999999999" customHeight="1" x14ac:dyDescent="0.25">
      <c r="A133" s="91" t="s">
        <v>389</v>
      </c>
      <c r="B133" s="92" t="s">
        <v>116</v>
      </c>
      <c r="C133" s="98" t="s">
        <v>311</v>
      </c>
      <c r="D133" s="93" t="s">
        <v>310</v>
      </c>
      <c r="E133" s="98" t="s">
        <v>59</v>
      </c>
      <c r="F133" s="100">
        <f>(1.6*0.5)+((5.65*0.5*3))+((1.7*0.5*3))</f>
        <v>11.825000000000003</v>
      </c>
      <c r="G133" s="101">
        <v>388.82</v>
      </c>
      <c r="H133" s="96">
        <f t="shared" si="38"/>
        <v>480.35</v>
      </c>
      <c r="I133" s="109">
        <f t="shared" ref="I133" si="41">ROUND(F133*H133,2)</f>
        <v>5680.14</v>
      </c>
    </row>
    <row r="134" spans="1:9" ht="25.5" x14ac:dyDescent="0.25">
      <c r="A134" s="91" t="s">
        <v>391</v>
      </c>
      <c r="B134" s="92" t="s">
        <v>116</v>
      </c>
      <c r="C134" s="98" t="s">
        <v>308</v>
      </c>
      <c r="D134" s="93" t="s">
        <v>309</v>
      </c>
      <c r="E134" s="143" t="s">
        <v>271</v>
      </c>
      <c r="F134" s="100">
        <v>5</v>
      </c>
      <c r="G134" s="101">
        <v>58.7</v>
      </c>
      <c r="H134" s="96">
        <f t="shared" si="38"/>
        <v>72.52</v>
      </c>
      <c r="I134" s="109">
        <f t="shared" si="39"/>
        <v>362.6</v>
      </c>
    </row>
    <row r="135" spans="1:9" x14ac:dyDescent="0.25">
      <c r="A135" s="91" t="s">
        <v>392</v>
      </c>
      <c r="B135" s="92" t="s">
        <v>116</v>
      </c>
      <c r="C135" s="98" t="s">
        <v>462</v>
      </c>
      <c r="D135" s="93" t="s">
        <v>463</v>
      </c>
      <c r="E135" s="143" t="s">
        <v>271</v>
      </c>
      <c r="F135" s="100">
        <v>6</v>
      </c>
      <c r="G135" s="101">
        <v>106.94</v>
      </c>
      <c r="H135" s="96">
        <f t="shared" si="38"/>
        <v>132.11000000000001</v>
      </c>
      <c r="I135" s="109">
        <f t="shared" si="39"/>
        <v>792.66</v>
      </c>
    </row>
    <row r="136" spans="1:9" ht="25.5" x14ac:dyDescent="0.25">
      <c r="A136" s="91" t="s">
        <v>393</v>
      </c>
      <c r="B136" s="92" t="s">
        <v>116</v>
      </c>
      <c r="C136" s="98" t="s">
        <v>464</v>
      </c>
      <c r="D136" s="93" t="s">
        <v>465</v>
      </c>
      <c r="E136" s="143" t="s">
        <v>271</v>
      </c>
      <c r="F136" s="100">
        <v>1</v>
      </c>
      <c r="G136" s="101">
        <v>206.14</v>
      </c>
      <c r="H136" s="96">
        <f t="shared" si="38"/>
        <v>254.67</v>
      </c>
      <c r="I136" s="109">
        <f t="shared" si="39"/>
        <v>254.67</v>
      </c>
    </row>
    <row r="137" spans="1:9" ht="25.5" x14ac:dyDescent="0.25">
      <c r="A137" s="91" t="s">
        <v>394</v>
      </c>
      <c r="B137" s="92" t="s">
        <v>116</v>
      </c>
      <c r="C137" s="98" t="s">
        <v>299</v>
      </c>
      <c r="D137" s="93" t="s">
        <v>298</v>
      </c>
      <c r="E137" s="143" t="s">
        <v>271</v>
      </c>
      <c r="F137" s="100">
        <v>6</v>
      </c>
      <c r="G137" s="101">
        <v>103.2</v>
      </c>
      <c r="H137" s="96">
        <f t="shared" si="38"/>
        <v>127.49</v>
      </c>
      <c r="I137" s="109">
        <f t="shared" si="39"/>
        <v>764.94</v>
      </c>
    </row>
    <row r="138" spans="1:9" ht="25.5" x14ac:dyDescent="0.25">
      <c r="A138" s="91" t="s">
        <v>390</v>
      </c>
      <c r="B138" s="92" t="s">
        <v>116</v>
      </c>
      <c r="C138" s="98" t="s">
        <v>301</v>
      </c>
      <c r="D138" s="93" t="s">
        <v>300</v>
      </c>
      <c r="E138" s="143" t="s">
        <v>271</v>
      </c>
      <c r="F138" s="100">
        <v>4</v>
      </c>
      <c r="G138" s="101">
        <v>76.08</v>
      </c>
      <c r="H138" s="96">
        <f t="shared" si="38"/>
        <v>93.99</v>
      </c>
      <c r="I138" s="109">
        <f t="shared" si="39"/>
        <v>375.96</v>
      </c>
    </row>
    <row r="139" spans="1:9" x14ac:dyDescent="0.25">
      <c r="A139" s="91" t="s">
        <v>395</v>
      </c>
      <c r="B139" s="92" t="s">
        <v>116</v>
      </c>
      <c r="C139" s="98" t="s">
        <v>303</v>
      </c>
      <c r="D139" s="93" t="s">
        <v>302</v>
      </c>
      <c r="E139" s="143" t="s">
        <v>271</v>
      </c>
      <c r="F139" s="100">
        <v>6</v>
      </c>
      <c r="G139" s="101">
        <v>68.849999999999994</v>
      </c>
      <c r="H139" s="96">
        <f t="shared" si="38"/>
        <v>85.06</v>
      </c>
      <c r="I139" s="109">
        <f t="shared" si="39"/>
        <v>510.36</v>
      </c>
    </row>
    <row r="140" spans="1:9" x14ac:dyDescent="0.25">
      <c r="A140" s="91" t="s">
        <v>396</v>
      </c>
      <c r="B140" s="92" t="s">
        <v>116</v>
      </c>
      <c r="C140" s="98" t="s">
        <v>305</v>
      </c>
      <c r="D140" s="93" t="s">
        <v>304</v>
      </c>
      <c r="E140" s="143" t="s">
        <v>271</v>
      </c>
      <c r="F140" s="100">
        <v>3</v>
      </c>
      <c r="G140" s="101">
        <v>61.52</v>
      </c>
      <c r="H140" s="96">
        <f t="shared" si="38"/>
        <v>76</v>
      </c>
      <c r="I140" s="109">
        <f t="shared" si="39"/>
        <v>228</v>
      </c>
    </row>
    <row r="141" spans="1:9" x14ac:dyDescent="0.25">
      <c r="A141" s="91" t="s">
        <v>397</v>
      </c>
      <c r="B141" s="92" t="s">
        <v>116</v>
      </c>
      <c r="C141" s="98" t="s">
        <v>307</v>
      </c>
      <c r="D141" s="93" t="s">
        <v>306</v>
      </c>
      <c r="E141" s="143" t="s">
        <v>271</v>
      </c>
      <c r="F141" s="100">
        <v>8</v>
      </c>
      <c r="G141" s="101">
        <v>32.049999999999997</v>
      </c>
      <c r="H141" s="96">
        <f t="shared" si="38"/>
        <v>39.590000000000003</v>
      </c>
      <c r="I141" s="109">
        <f t="shared" si="39"/>
        <v>316.72000000000003</v>
      </c>
    </row>
    <row r="142" spans="1:9" ht="25.5" x14ac:dyDescent="0.25">
      <c r="A142" s="91" t="s">
        <v>398</v>
      </c>
      <c r="B142" s="92" t="s">
        <v>116</v>
      </c>
      <c r="C142" s="98" t="s">
        <v>588</v>
      </c>
      <c r="D142" s="93" t="s">
        <v>589</v>
      </c>
      <c r="E142" s="143" t="s">
        <v>590</v>
      </c>
      <c r="F142" s="100">
        <v>6</v>
      </c>
      <c r="G142" s="101">
        <v>223.95</v>
      </c>
      <c r="H142" s="96">
        <f t="shared" ref="H142" si="42">ROUND(G142*(1+$G$8),2)</f>
        <v>276.67</v>
      </c>
      <c r="I142" s="109">
        <f t="shared" ref="I142" si="43">ROUND(F142*H142,2)</f>
        <v>1660.02</v>
      </c>
    </row>
    <row r="143" spans="1:9" s="43" customFormat="1" ht="15.75" x14ac:dyDescent="0.25">
      <c r="A143" s="155"/>
      <c r="B143" s="156"/>
      <c r="C143" s="156"/>
      <c r="D143" s="156"/>
      <c r="E143" s="156"/>
      <c r="F143" s="156"/>
      <c r="G143" s="158"/>
      <c r="H143" s="50" t="s">
        <v>3</v>
      </c>
      <c r="I143" s="68">
        <f>SUM(I129:I142)</f>
        <v>23033.109999999997</v>
      </c>
    </row>
    <row r="144" spans="1:9" s="43" customFormat="1" ht="15.4" customHeight="1" x14ac:dyDescent="0.25">
      <c r="A144" s="155"/>
      <c r="B144" s="156"/>
      <c r="C144" s="156"/>
      <c r="D144" s="156"/>
      <c r="E144" s="156"/>
      <c r="F144" s="156"/>
      <c r="G144" s="156"/>
      <c r="H144" s="156"/>
      <c r="I144" s="157"/>
    </row>
    <row r="145" spans="1:9" ht="14.25" customHeight="1" x14ac:dyDescent="0.25">
      <c r="A145" s="65" t="s">
        <v>216</v>
      </c>
      <c r="B145" s="12"/>
      <c r="C145" s="45"/>
      <c r="D145" s="11" t="s">
        <v>270</v>
      </c>
      <c r="E145" s="159"/>
      <c r="F145" s="159"/>
      <c r="G145" s="159"/>
      <c r="H145" s="159"/>
      <c r="I145" s="160"/>
    </row>
    <row r="146" spans="1:9" ht="25.5" x14ac:dyDescent="0.25">
      <c r="A146" s="91" t="s">
        <v>399</v>
      </c>
      <c r="B146" s="92" t="s">
        <v>116</v>
      </c>
      <c r="C146" s="94" t="s">
        <v>466</v>
      </c>
      <c r="D146" s="108" t="s">
        <v>467</v>
      </c>
      <c r="E146" s="94" t="s">
        <v>77</v>
      </c>
      <c r="F146" s="95">
        <v>42</v>
      </c>
      <c r="G146" s="101">
        <v>88.11</v>
      </c>
      <c r="H146" s="101">
        <f>(ROUND(G146*(1+$G$8),2))</f>
        <v>108.85</v>
      </c>
      <c r="I146" s="109">
        <f>ROUND(F146*H146,2)</f>
        <v>4571.7</v>
      </c>
    </row>
    <row r="147" spans="1:9" ht="25.5" x14ac:dyDescent="0.25">
      <c r="A147" s="91" t="s">
        <v>400</v>
      </c>
      <c r="B147" s="92" t="s">
        <v>116</v>
      </c>
      <c r="C147" s="94" t="s">
        <v>65</v>
      </c>
      <c r="D147" s="108" t="s">
        <v>70</v>
      </c>
      <c r="E147" s="94" t="s">
        <v>76</v>
      </c>
      <c r="F147" s="95">
        <v>36</v>
      </c>
      <c r="G147" s="101">
        <v>85.64</v>
      </c>
      <c r="H147" s="101">
        <f>(ROUND(G147*(1+$G$8),2))</f>
        <v>105.8</v>
      </c>
      <c r="I147" s="109">
        <f t="shared" ref="I147:I156" si="44">ROUND(F147*H147,2)</f>
        <v>3808.8</v>
      </c>
    </row>
    <row r="148" spans="1:9" ht="25.5" x14ac:dyDescent="0.25">
      <c r="A148" s="91" t="s">
        <v>401</v>
      </c>
      <c r="B148" s="92" t="s">
        <v>116</v>
      </c>
      <c r="C148" s="94" t="s">
        <v>67</v>
      </c>
      <c r="D148" s="108" t="s">
        <v>72</v>
      </c>
      <c r="E148" s="94" t="s">
        <v>2</v>
      </c>
      <c r="F148" s="95">
        <v>98</v>
      </c>
      <c r="G148" s="101">
        <v>10.47</v>
      </c>
      <c r="H148" s="101">
        <f t="shared" ref="H148:H150" si="45">ROUND(G148*(1+$G$8),2)</f>
        <v>12.93</v>
      </c>
      <c r="I148" s="109">
        <f t="shared" si="44"/>
        <v>1267.1400000000001</v>
      </c>
    </row>
    <row r="149" spans="1:9" ht="25.5" x14ac:dyDescent="0.25">
      <c r="A149" s="91" t="s">
        <v>402</v>
      </c>
      <c r="B149" s="92" t="s">
        <v>116</v>
      </c>
      <c r="C149" s="94" t="s">
        <v>66</v>
      </c>
      <c r="D149" s="108" t="s">
        <v>71</v>
      </c>
      <c r="E149" s="94" t="s">
        <v>2</v>
      </c>
      <c r="F149" s="95">
        <v>286</v>
      </c>
      <c r="G149" s="101">
        <v>10.14</v>
      </c>
      <c r="H149" s="101">
        <f t="shared" si="45"/>
        <v>12.53</v>
      </c>
      <c r="I149" s="109">
        <f t="shared" si="44"/>
        <v>3583.58</v>
      </c>
    </row>
    <row r="150" spans="1:9" x14ac:dyDescent="0.25">
      <c r="A150" s="91" t="s">
        <v>403</v>
      </c>
      <c r="B150" s="92" t="s">
        <v>116</v>
      </c>
      <c r="C150" s="94" t="s">
        <v>68</v>
      </c>
      <c r="D150" s="108" t="s">
        <v>73</v>
      </c>
      <c r="E150" s="94" t="s">
        <v>59</v>
      </c>
      <c r="F150" s="95">
        <v>27.3</v>
      </c>
      <c r="G150" s="101">
        <v>110.06</v>
      </c>
      <c r="H150" s="101">
        <f t="shared" si="45"/>
        <v>135.97</v>
      </c>
      <c r="I150" s="109">
        <f t="shared" si="44"/>
        <v>3711.98</v>
      </c>
    </row>
    <row r="151" spans="1:9" x14ac:dyDescent="0.25">
      <c r="A151" s="91" t="s">
        <v>404</v>
      </c>
      <c r="B151" s="92" t="s">
        <v>116</v>
      </c>
      <c r="C151" s="94" t="s">
        <v>123</v>
      </c>
      <c r="D151" s="108" t="s">
        <v>124</v>
      </c>
      <c r="E151" s="94" t="s">
        <v>59</v>
      </c>
      <c r="F151" s="95">
        <v>13.5</v>
      </c>
      <c r="G151" s="101">
        <v>252.88</v>
      </c>
      <c r="H151" s="101">
        <f>ROUND(G151*(1+$G$8),2)</f>
        <v>312.41000000000003</v>
      </c>
      <c r="I151" s="109">
        <f t="shared" si="44"/>
        <v>4217.54</v>
      </c>
    </row>
    <row r="152" spans="1:9" x14ac:dyDescent="0.25">
      <c r="A152" s="91" t="s">
        <v>405</v>
      </c>
      <c r="B152" s="92" t="s">
        <v>116</v>
      </c>
      <c r="C152" s="94" t="s">
        <v>69</v>
      </c>
      <c r="D152" s="108" t="s">
        <v>74</v>
      </c>
      <c r="E152" s="94" t="s">
        <v>77</v>
      </c>
      <c r="F152" s="95">
        <v>7.3</v>
      </c>
      <c r="G152" s="101">
        <v>519.37</v>
      </c>
      <c r="H152" s="101">
        <f t="shared" ref="H152:H153" si="46">ROUND(G152*(1+$G$8),2)</f>
        <v>641.63</v>
      </c>
      <c r="I152" s="109">
        <f t="shared" si="44"/>
        <v>4683.8999999999996</v>
      </c>
    </row>
    <row r="153" spans="1:9" ht="25.5" x14ac:dyDescent="0.25">
      <c r="A153" s="91" t="s">
        <v>406</v>
      </c>
      <c r="B153" s="92" t="s">
        <v>116</v>
      </c>
      <c r="C153" s="94" t="s">
        <v>32</v>
      </c>
      <c r="D153" s="108" t="s">
        <v>33</v>
      </c>
      <c r="E153" s="94" t="s">
        <v>77</v>
      </c>
      <c r="F153" s="95">
        <v>7.3</v>
      </c>
      <c r="G153" s="101">
        <v>191.54</v>
      </c>
      <c r="H153" s="101">
        <f t="shared" si="46"/>
        <v>236.63</v>
      </c>
      <c r="I153" s="109">
        <f t="shared" si="44"/>
        <v>1727.4</v>
      </c>
    </row>
    <row r="154" spans="1:9" ht="25.5" x14ac:dyDescent="0.25">
      <c r="A154" s="91" t="s">
        <v>407</v>
      </c>
      <c r="B154" s="92" t="s">
        <v>116</v>
      </c>
      <c r="C154" s="94" t="s">
        <v>22</v>
      </c>
      <c r="D154" s="108" t="s">
        <v>75</v>
      </c>
      <c r="E154" s="94" t="s">
        <v>59</v>
      </c>
      <c r="F154" s="95">
        <v>37.56</v>
      </c>
      <c r="G154" s="101">
        <v>88.86</v>
      </c>
      <c r="H154" s="101">
        <f>(ROUND(G154*(1+$G$8),2))</f>
        <v>109.78</v>
      </c>
      <c r="I154" s="109">
        <f t="shared" si="44"/>
        <v>4123.34</v>
      </c>
    </row>
    <row r="155" spans="1:9" ht="25.5" x14ac:dyDescent="0.25">
      <c r="A155" s="91" t="s">
        <v>408</v>
      </c>
      <c r="B155" s="92" t="s">
        <v>116</v>
      </c>
      <c r="C155" s="94" t="s">
        <v>201</v>
      </c>
      <c r="D155" s="108" t="s">
        <v>202</v>
      </c>
      <c r="E155" s="94" t="s">
        <v>59</v>
      </c>
      <c r="F155" s="95">
        <v>19.2</v>
      </c>
      <c r="G155" s="101">
        <v>87.33</v>
      </c>
      <c r="H155" s="101">
        <f t="shared" ref="H155" si="47">ROUND(G155*(1+$G$8),2)</f>
        <v>107.89</v>
      </c>
      <c r="I155" s="109">
        <f t="shared" si="44"/>
        <v>2071.4899999999998</v>
      </c>
    </row>
    <row r="156" spans="1:9" ht="25.5" x14ac:dyDescent="0.25">
      <c r="A156" s="91" t="s">
        <v>409</v>
      </c>
      <c r="B156" s="92" t="s">
        <v>116</v>
      </c>
      <c r="C156" s="94" t="s">
        <v>413</v>
      </c>
      <c r="D156" s="108" t="s">
        <v>562</v>
      </c>
      <c r="E156" s="94" t="s">
        <v>59</v>
      </c>
      <c r="F156" s="95">
        <v>37.56</v>
      </c>
      <c r="G156" s="101">
        <v>117.02</v>
      </c>
      <c r="H156" s="101">
        <f>(ROUND(G156*(1+$G$8),2))</f>
        <v>144.57</v>
      </c>
      <c r="I156" s="109">
        <f t="shared" si="44"/>
        <v>5430.05</v>
      </c>
    </row>
    <row r="157" spans="1:9" x14ac:dyDescent="0.25">
      <c r="A157" s="91" t="s">
        <v>410</v>
      </c>
      <c r="B157" s="92" t="s">
        <v>116</v>
      </c>
      <c r="C157" s="94" t="s">
        <v>82</v>
      </c>
      <c r="D157" s="108" t="s">
        <v>83</v>
      </c>
      <c r="E157" s="94" t="s">
        <v>59</v>
      </c>
      <c r="F157" s="95">
        <f>37.56*2</f>
        <v>75.12</v>
      </c>
      <c r="G157" s="101">
        <v>7.73</v>
      </c>
      <c r="H157" s="101">
        <f>(ROUND(G157*(1+$G$8),2))</f>
        <v>9.5500000000000007</v>
      </c>
      <c r="I157" s="109">
        <f t="shared" ref="I157:I158" si="48">ROUND(F157*H157,2)</f>
        <v>717.4</v>
      </c>
    </row>
    <row r="158" spans="1:9" x14ac:dyDescent="0.25">
      <c r="A158" s="91" t="s">
        <v>411</v>
      </c>
      <c r="B158" s="92" t="s">
        <v>116</v>
      </c>
      <c r="C158" s="94" t="s">
        <v>78</v>
      </c>
      <c r="D158" s="108" t="s">
        <v>79</v>
      </c>
      <c r="E158" s="94" t="s">
        <v>59</v>
      </c>
      <c r="F158" s="95">
        <f>37.56*2</f>
        <v>75.12</v>
      </c>
      <c r="G158" s="101">
        <v>24.69</v>
      </c>
      <c r="H158" s="101">
        <f>(ROUND(G158*(1+$G$8),2))</f>
        <v>30.5</v>
      </c>
      <c r="I158" s="109">
        <f t="shared" si="48"/>
        <v>2291.16</v>
      </c>
    </row>
    <row r="159" spans="1:9" ht="25.5" x14ac:dyDescent="0.25">
      <c r="A159" s="91" t="s">
        <v>587</v>
      </c>
      <c r="B159" s="92" t="s">
        <v>116</v>
      </c>
      <c r="C159" s="94" t="s">
        <v>280</v>
      </c>
      <c r="D159" s="108" t="s">
        <v>283</v>
      </c>
      <c r="E159" s="94" t="s">
        <v>76</v>
      </c>
      <c r="F159" s="95">
        <v>90</v>
      </c>
      <c r="G159" s="101">
        <v>54.38</v>
      </c>
      <c r="H159" s="101">
        <f>(ROUND(G159*(1+$G$8),2))</f>
        <v>67.180000000000007</v>
      </c>
      <c r="I159" s="109">
        <f t="shared" ref="I159" si="49">ROUND(F159*H159,2)</f>
        <v>6046.2</v>
      </c>
    </row>
    <row r="160" spans="1:9" ht="38.25" x14ac:dyDescent="0.25">
      <c r="A160" s="91" t="s">
        <v>658</v>
      </c>
      <c r="B160" s="92" t="s">
        <v>116</v>
      </c>
      <c r="C160" s="94" t="s">
        <v>127</v>
      </c>
      <c r="D160" s="108" t="s">
        <v>128</v>
      </c>
      <c r="E160" s="94" t="s">
        <v>59</v>
      </c>
      <c r="F160" s="95">
        <v>37.56</v>
      </c>
      <c r="G160" s="101">
        <v>114.92</v>
      </c>
      <c r="H160" s="101">
        <f t="shared" ref="H160" si="50">ROUND(G160*(1+$G$8),2)</f>
        <v>141.97</v>
      </c>
      <c r="I160" s="109">
        <f t="shared" ref="I160" si="51">ROUND(F160*H160,2)</f>
        <v>5332.39</v>
      </c>
    </row>
    <row r="161" spans="1:9" ht="25.5" x14ac:dyDescent="0.25">
      <c r="A161" s="91" t="s">
        <v>659</v>
      </c>
      <c r="B161" s="92" t="s">
        <v>116</v>
      </c>
      <c r="C161" s="94" t="s">
        <v>495</v>
      </c>
      <c r="D161" s="108" t="s">
        <v>496</v>
      </c>
      <c r="E161" s="94" t="s">
        <v>76</v>
      </c>
      <c r="F161" s="95">
        <v>4</v>
      </c>
      <c r="G161" s="101">
        <v>596.32000000000005</v>
      </c>
      <c r="H161" s="101">
        <f t="shared" ref="H161" si="52">ROUND(G161*(1+$G$8),2)</f>
        <v>736.69</v>
      </c>
      <c r="I161" s="109">
        <f t="shared" ref="I161:I163" si="53">ROUND(F161*H161,2)</f>
        <v>2946.76</v>
      </c>
    </row>
    <row r="162" spans="1:9" ht="25.5" x14ac:dyDescent="0.25">
      <c r="A162" s="91" t="s">
        <v>660</v>
      </c>
      <c r="B162" s="92" t="s">
        <v>116</v>
      </c>
      <c r="C162" s="141" t="s">
        <v>639</v>
      </c>
      <c r="D162" s="93" t="s">
        <v>640</v>
      </c>
      <c r="E162" s="98" t="s">
        <v>641</v>
      </c>
      <c r="F162" s="100">
        <v>1</v>
      </c>
      <c r="G162" s="101">
        <v>2467.2800000000002</v>
      </c>
      <c r="H162" s="101">
        <f t="shared" ref="H162:H163" si="54">ROUND(G162*(1+$G$11),2)</f>
        <v>2467.2800000000002</v>
      </c>
      <c r="I162" s="101">
        <f t="shared" si="53"/>
        <v>2467.2800000000002</v>
      </c>
    </row>
    <row r="163" spans="1:9" ht="25.5" x14ac:dyDescent="0.25">
      <c r="A163" s="91" t="s">
        <v>661</v>
      </c>
      <c r="B163" s="92" t="s">
        <v>116</v>
      </c>
      <c r="C163" s="141" t="s">
        <v>642</v>
      </c>
      <c r="D163" s="93" t="s">
        <v>643</v>
      </c>
      <c r="E163" s="98" t="s">
        <v>641</v>
      </c>
      <c r="F163" s="100">
        <v>1</v>
      </c>
      <c r="G163" s="101">
        <v>3961.55</v>
      </c>
      <c r="H163" s="101">
        <f t="shared" si="54"/>
        <v>3961.55</v>
      </c>
      <c r="I163" s="101">
        <f t="shared" si="53"/>
        <v>3961.55</v>
      </c>
    </row>
    <row r="164" spans="1:9" s="43" customFormat="1" ht="15.75" x14ac:dyDescent="0.25">
      <c r="A164" s="155"/>
      <c r="B164" s="156"/>
      <c r="C164" s="156"/>
      <c r="D164" s="156"/>
      <c r="E164" s="156"/>
      <c r="F164" s="156"/>
      <c r="G164" s="158"/>
      <c r="H164" s="50" t="s">
        <v>3</v>
      </c>
      <c r="I164" s="68">
        <f>SUM(I146:I163)</f>
        <v>62959.660000000011</v>
      </c>
    </row>
    <row r="165" spans="1:9" s="43" customFormat="1" ht="15.4" customHeight="1" x14ac:dyDescent="0.25">
      <c r="A165" s="155"/>
      <c r="B165" s="156"/>
      <c r="C165" s="156"/>
      <c r="D165" s="156"/>
      <c r="E165" s="156"/>
      <c r="F165" s="156"/>
      <c r="G165" s="156"/>
      <c r="H165" s="156"/>
      <c r="I165" s="157"/>
    </row>
    <row r="166" spans="1:9" ht="14.25" customHeight="1" x14ac:dyDescent="0.25">
      <c r="A166" s="65" t="s">
        <v>217</v>
      </c>
      <c r="B166" s="12"/>
      <c r="C166" s="45"/>
      <c r="D166" s="11" t="s">
        <v>29</v>
      </c>
      <c r="E166" s="159"/>
      <c r="F166" s="159"/>
      <c r="G166" s="159"/>
      <c r="H166" s="159"/>
      <c r="I166" s="160"/>
    </row>
    <row r="167" spans="1:9" x14ac:dyDescent="0.25">
      <c r="A167" s="91" t="s">
        <v>382</v>
      </c>
      <c r="B167" s="92" t="s">
        <v>116</v>
      </c>
      <c r="C167" s="94" t="s">
        <v>138</v>
      </c>
      <c r="D167" s="108" t="s">
        <v>139</v>
      </c>
      <c r="E167" s="94" t="s">
        <v>59</v>
      </c>
      <c r="F167" s="95">
        <v>359.67</v>
      </c>
      <c r="G167" s="101">
        <v>16.47</v>
      </c>
      <c r="H167" s="101">
        <f>ROUND(G167*(1+$G$8),2)</f>
        <v>20.350000000000001</v>
      </c>
      <c r="I167" s="109">
        <f>ROUND(F167*H167,2)</f>
        <v>7319.28</v>
      </c>
    </row>
    <row r="168" spans="1:9" x14ac:dyDescent="0.25">
      <c r="A168" s="91" t="s">
        <v>383</v>
      </c>
      <c r="B168" s="92" t="s">
        <v>116</v>
      </c>
      <c r="C168" s="94" t="s">
        <v>90</v>
      </c>
      <c r="D168" s="108" t="s">
        <v>91</v>
      </c>
      <c r="E168" s="94" t="s">
        <v>59</v>
      </c>
      <c r="F168" s="95">
        <v>763.98</v>
      </c>
      <c r="G168" s="101">
        <v>35.950000000000003</v>
      </c>
      <c r="H168" s="101">
        <f>ROUND(G168*(1+$G$8),2)</f>
        <v>44.41</v>
      </c>
      <c r="I168" s="109">
        <f>ROUND(F168*H168,2)</f>
        <v>33928.35</v>
      </c>
    </row>
    <row r="169" spans="1:9" ht="19.899999999999999" customHeight="1" x14ac:dyDescent="0.25">
      <c r="A169" s="91" t="s">
        <v>384</v>
      </c>
      <c r="B169" s="92" t="s">
        <v>116</v>
      </c>
      <c r="C169" s="94" t="s">
        <v>511</v>
      </c>
      <c r="D169" s="108" t="s">
        <v>512</v>
      </c>
      <c r="E169" s="94" t="s">
        <v>2</v>
      </c>
      <c r="F169" s="95">
        <v>3384</v>
      </c>
      <c r="G169" s="101">
        <v>4.5</v>
      </c>
      <c r="H169" s="101">
        <f>ROUND(G169*(1+$G$8),2)</f>
        <v>5.56</v>
      </c>
      <c r="I169" s="109">
        <f>ROUND(F169*H169,2)</f>
        <v>18815.04</v>
      </c>
    </row>
    <row r="170" spans="1:9" s="43" customFormat="1" ht="15.75" x14ac:dyDescent="0.25">
      <c r="A170" s="161"/>
      <c r="B170" s="162"/>
      <c r="C170" s="162"/>
      <c r="D170" s="162"/>
      <c r="E170" s="162"/>
      <c r="F170" s="162"/>
      <c r="G170" s="162"/>
      <c r="H170" s="47" t="s">
        <v>3</v>
      </c>
      <c r="I170" s="66">
        <f>SUM(I167:I169)</f>
        <v>60062.67</v>
      </c>
    </row>
    <row r="171" spans="1:9" s="43" customFormat="1" ht="15.4" customHeight="1" x14ac:dyDescent="0.25">
      <c r="A171" s="161"/>
      <c r="B171" s="162"/>
      <c r="C171" s="162"/>
      <c r="D171" s="162"/>
      <c r="E171" s="162"/>
      <c r="F171" s="162"/>
      <c r="G171" s="162"/>
      <c r="H171" s="162"/>
      <c r="I171" s="163"/>
    </row>
    <row r="172" spans="1:9" s="43" customFormat="1" ht="15.4" customHeight="1" x14ac:dyDescent="0.25">
      <c r="A172" s="65" t="s">
        <v>242</v>
      </c>
      <c r="B172" s="12"/>
      <c r="C172" s="45"/>
      <c r="D172" s="11" t="s">
        <v>634</v>
      </c>
      <c r="E172" s="159"/>
      <c r="F172" s="159"/>
      <c r="G172" s="159"/>
      <c r="H172" s="159"/>
      <c r="I172" s="160"/>
    </row>
    <row r="173" spans="1:9" ht="25.5" x14ac:dyDescent="0.25">
      <c r="A173" s="91" t="s">
        <v>347</v>
      </c>
      <c r="B173" s="92" t="s">
        <v>116</v>
      </c>
      <c r="C173" s="94" t="s">
        <v>57</v>
      </c>
      <c r="D173" s="108" t="s">
        <v>58</v>
      </c>
      <c r="E173" s="94" t="s">
        <v>59</v>
      </c>
      <c r="F173" s="95">
        <v>91.2</v>
      </c>
      <c r="G173" s="96">
        <v>3.56</v>
      </c>
      <c r="H173" s="96">
        <f>ROUND(G173*(1+$G$8),2)</f>
        <v>4.4000000000000004</v>
      </c>
      <c r="I173" s="97">
        <f>ROUND(F173*H173,2)</f>
        <v>401.28</v>
      </c>
    </row>
    <row r="174" spans="1:9" ht="25.5" x14ac:dyDescent="0.25">
      <c r="A174" s="91" t="s">
        <v>538</v>
      </c>
      <c r="B174" s="92" t="s">
        <v>116</v>
      </c>
      <c r="C174" s="94" t="s">
        <v>431</v>
      </c>
      <c r="D174" s="108" t="s">
        <v>430</v>
      </c>
      <c r="E174" s="94" t="s">
        <v>77</v>
      </c>
      <c r="F174" s="95">
        <v>7.35</v>
      </c>
      <c r="G174" s="101">
        <v>973</v>
      </c>
      <c r="H174" s="101">
        <f t="shared" ref="H174" si="55">ROUND(G174*(1+$G$8),2)</f>
        <v>1202.04</v>
      </c>
      <c r="I174" s="109">
        <f t="shared" ref="I174" si="56">ROUND(F174*H174,2)</f>
        <v>8834.99</v>
      </c>
    </row>
    <row r="175" spans="1:9" x14ac:dyDescent="0.25">
      <c r="A175" s="91" t="s">
        <v>539</v>
      </c>
      <c r="B175" s="92" t="s">
        <v>116</v>
      </c>
      <c r="C175" s="94" t="s">
        <v>454</v>
      </c>
      <c r="D175" s="108" t="s">
        <v>455</v>
      </c>
      <c r="E175" s="94" t="s">
        <v>2</v>
      </c>
      <c r="F175" s="95">
        <v>108</v>
      </c>
      <c r="G175" s="101">
        <v>9.85</v>
      </c>
      <c r="H175" s="101">
        <f t="shared" ref="H175" si="57">ROUND(G175*(1+$G$8),2)</f>
        <v>12.17</v>
      </c>
      <c r="I175" s="109">
        <f t="shared" ref="I175" si="58">ROUND(F175*H175,2)</f>
        <v>1314.36</v>
      </c>
    </row>
    <row r="176" spans="1:9" ht="15.4" customHeight="1" x14ac:dyDescent="0.25">
      <c r="A176" s="199"/>
      <c r="B176" s="200"/>
      <c r="C176" s="200"/>
      <c r="D176" s="200"/>
      <c r="E176" s="200"/>
      <c r="F176" s="200"/>
      <c r="G176" s="201"/>
      <c r="H176" s="104" t="s">
        <v>3</v>
      </c>
      <c r="I176" s="103">
        <f>SUM(I173:I175)</f>
        <v>10550.630000000001</v>
      </c>
    </row>
    <row r="177" spans="1:10" ht="15" customHeight="1" thickBot="1" x14ac:dyDescent="0.3">
      <c r="A177" s="202"/>
      <c r="B177" s="203"/>
      <c r="C177" s="203"/>
      <c r="D177" s="203"/>
      <c r="E177" s="203"/>
      <c r="F177" s="203"/>
      <c r="G177" s="203"/>
      <c r="H177" s="203"/>
      <c r="I177" s="204"/>
    </row>
    <row r="178" spans="1:10" ht="14.25" customHeight="1" x14ac:dyDescent="0.25">
      <c r="A178" s="65" t="s">
        <v>269</v>
      </c>
      <c r="B178" s="12"/>
      <c r="C178" s="45"/>
      <c r="D178" s="11" t="s">
        <v>556</v>
      </c>
      <c r="E178" s="159"/>
      <c r="F178" s="159"/>
      <c r="G178" s="159"/>
      <c r="H178" s="159"/>
      <c r="I178" s="160"/>
    </row>
    <row r="179" spans="1:10" x14ac:dyDescent="0.25">
      <c r="A179" s="91" t="s">
        <v>414</v>
      </c>
      <c r="B179" s="92" t="s">
        <v>116</v>
      </c>
      <c r="C179" s="94" t="s">
        <v>36</v>
      </c>
      <c r="D179" s="108" t="s">
        <v>55</v>
      </c>
      <c r="E179" s="94" t="s">
        <v>59</v>
      </c>
      <c r="F179" s="95">
        <v>211.09</v>
      </c>
      <c r="G179" s="101">
        <v>15.9</v>
      </c>
      <c r="H179" s="101">
        <f>ROUND(G179*(1+$G$8),2)</f>
        <v>19.64</v>
      </c>
      <c r="I179" s="109">
        <f>ROUND(F179*H179,2)</f>
        <v>4145.8100000000004</v>
      </c>
    </row>
    <row r="180" spans="1:10" s="43" customFormat="1" ht="15.75" x14ac:dyDescent="0.25">
      <c r="A180" s="161"/>
      <c r="B180" s="162"/>
      <c r="C180" s="162"/>
      <c r="D180" s="162"/>
      <c r="E180" s="162"/>
      <c r="F180" s="162"/>
      <c r="G180" s="162"/>
      <c r="H180" s="47" t="s">
        <v>3</v>
      </c>
      <c r="I180" s="66">
        <f>I179</f>
        <v>4145.8100000000004</v>
      </c>
    </row>
    <row r="181" spans="1:10" ht="15" customHeight="1" thickBot="1" x14ac:dyDescent="0.3">
      <c r="A181" s="205"/>
      <c r="B181" s="206"/>
      <c r="C181" s="206"/>
      <c r="D181" s="206"/>
      <c r="E181" s="206"/>
      <c r="F181" s="203"/>
      <c r="G181" s="203"/>
      <c r="H181" s="203"/>
      <c r="I181" s="204"/>
    </row>
    <row r="182" spans="1:10" ht="33.6" customHeight="1" thickBot="1" x14ac:dyDescent="0.3">
      <c r="A182" s="164"/>
      <c r="B182" s="164"/>
      <c r="C182" s="164"/>
      <c r="D182" s="164"/>
      <c r="E182" s="164"/>
      <c r="F182" s="207" t="s">
        <v>4</v>
      </c>
      <c r="G182" s="208"/>
      <c r="H182" s="209"/>
      <c r="I182" s="144">
        <f>I180+I176+I170+I164+I143+I126+I99+I78+I69+I59+I50+I42+I31+I19</f>
        <v>768637.76599999995</v>
      </c>
      <c r="J182" s="7"/>
    </row>
    <row r="183" spans="1:10" x14ac:dyDescent="0.25">
      <c r="A183" s="3"/>
      <c r="B183" s="3"/>
      <c r="C183" s="3"/>
      <c r="E183" s="3"/>
      <c r="F183" s="4"/>
      <c r="G183" s="5"/>
      <c r="H183" s="5"/>
      <c r="I183" s="5"/>
    </row>
    <row r="184" spans="1:10" x14ac:dyDescent="0.25">
      <c r="A184" s="3"/>
      <c r="B184" s="3"/>
      <c r="C184" s="3"/>
      <c r="E184" s="3"/>
      <c r="F184" s="4"/>
      <c r="G184" s="5"/>
      <c r="H184" s="5"/>
      <c r="I184" s="5"/>
    </row>
    <row r="185" spans="1:10" x14ac:dyDescent="0.25">
      <c r="A185" s="3"/>
      <c r="B185" s="3"/>
      <c r="C185" s="3"/>
      <c r="E185" s="3"/>
      <c r="F185" s="4"/>
      <c r="G185" s="5"/>
      <c r="H185" s="5"/>
      <c r="I185" s="5"/>
    </row>
    <row r="186" spans="1:10" x14ac:dyDescent="0.25">
      <c r="A186" s="3"/>
      <c r="B186" s="3"/>
      <c r="C186" s="3"/>
      <c r="E186" s="3"/>
      <c r="F186" s="4"/>
      <c r="G186" s="5"/>
      <c r="H186" s="5"/>
      <c r="I186" s="5"/>
    </row>
    <row r="187" spans="1:10" x14ac:dyDescent="0.25">
      <c r="A187" s="3"/>
      <c r="B187" s="3"/>
      <c r="C187" s="3"/>
      <c r="E187" s="3"/>
      <c r="F187" s="4"/>
      <c r="G187" s="5"/>
      <c r="H187" s="5"/>
      <c r="I187" s="5"/>
    </row>
    <row r="188" spans="1:10" x14ac:dyDescent="0.25">
      <c r="A188" s="3"/>
      <c r="B188" s="3"/>
      <c r="C188" s="3"/>
      <c r="E188" s="3"/>
      <c r="F188" s="4"/>
      <c r="G188" s="5"/>
      <c r="H188" s="5"/>
      <c r="I188" s="5"/>
    </row>
    <row r="189" spans="1:10" x14ac:dyDescent="0.25">
      <c r="A189" s="3"/>
      <c r="B189" s="3"/>
      <c r="C189" s="3"/>
      <c r="E189" s="3"/>
      <c r="F189" s="4"/>
      <c r="G189" s="5"/>
      <c r="H189" s="5"/>
      <c r="I189" s="5"/>
    </row>
    <row r="190" spans="1:10" x14ac:dyDescent="0.25">
      <c r="A190" s="3"/>
      <c r="B190" s="3"/>
      <c r="C190" s="3"/>
      <c r="E190" s="3"/>
      <c r="F190" s="4"/>
      <c r="G190" s="5"/>
      <c r="H190" s="5"/>
      <c r="I190" s="5"/>
    </row>
    <row r="191" spans="1:10" x14ac:dyDescent="0.25">
      <c r="A191" s="3"/>
      <c r="B191" s="3"/>
      <c r="C191" s="3"/>
      <c r="E191" s="3"/>
      <c r="F191" s="4"/>
      <c r="G191" s="5"/>
      <c r="H191" s="5"/>
      <c r="I191" s="5"/>
    </row>
    <row r="192" spans="1:10" x14ac:dyDescent="0.25">
      <c r="A192" s="3"/>
      <c r="B192" s="3"/>
      <c r="C192" s="3"/>
      <c r="E192" s="3"/>
      <c r="F192" s="4"/>
      <c r="G192" s="5"/>
      <c r="H192" s="5"/>
      <c r="I192" s="5"/>
    </row>
    <row r="193" spans="1:9" ht="28.9" customHeight="1" x14ac:dyDescent="0.25">
      <c r="A193" s="3"/>
      <c r="B193" s="3"/>
      <c r="C193" s="3"/>
      <c r="D193" s="154" t="s">
        <v>662</v>
      </c>
      <c r="E193" s="154"/>
      <c r="F193" s="154"/>
      <c r="G193" s="5"/>
      <c r="H193" s="5"/>
      <c r="I193" s="5"/>
    </row>
    <row r="194" spans="1:9" x14ac:dyDescent="0.25">
      <c r="A194" s="3"/>
      <c r="B194" s="3"/>
      <c r="C194" s="3"/>
      <c r="E194" s="3"/>
      <c r="F194" s="4"/>
      <c r="G194" s="5"/>
      <c r="H194" s="5"/>
      <c r="I194" s="5"/>
    </row>
    <row r="195" spans="1:9" x14ac:dyDescent="0.25">
      <c r="A195" s="3"/>
      <c r="B195" s="3"/>
      <c r="C195" s="3"/>
      <c r="E195" s="3"/>
      <c r="F195" s="4"/>
      <c r="G195" s="5"/>
      <c r="H195" s="5"/>
      <c r="I195" s="5"/>
    </row>
    <row r="196" spans="1:9" x14ac:dyDescent="0.25">
      <c r="A196" s="3"/>
      <c r="B196" s="3"/>
      <c r="C196" s="3"/>
      <c r="E196" s="3"/>
      <c r="F196" s="4"/>
      <c r="G196" s="5"/>
      <c r="H196" s="5"/>
      <c r="I196" s="5"/>
    </row>
    <row r="197" spans="1:9" x14ac:dyDescent="0.25">
      <c r="A197" s="3"/>
      <c r="B197" s="3"/>
      <c r="C197" s="3"/>
      <c r="E197" s="3"/>
      <c r="F197" s="4"/>
      <c r="G197" s="5"/>
      <c r="H197" s="5"/>
      <c r="I197" s="5"/>
    </row>
    <row r="198" spans="1:9" x14ac:dyDescent="0.25">
      <c r="A198" s="3"/>
      <c r="B198" s="3"/>
      <c r="C198" s="3"/>
      <c r="E198" s="3"/>
      <c r="F198" s="4"/>
      <c r="G198" s="5"/>
      <c r="H198" s="5"/>
      <c r="I198" s="5"/>
    </row>
    <row r="199" spans="1:9" x14ac:dyDescent="0.25">
      <c r="A199" s="3"/>
      <c r="B199" s="3"/>
      <c r="C199" s="3"/>
      <c r="E199" s="3"/>
      <c r="F199" s="4"/>
      <c r="G199" s="5"/>
      <c r="H199" s="5"/>
      <c r="I199" s="5"/>
    </row>
    <row r="200" spans="1:9" x14ac:dyDescent="0.25">
      <c r="A200" s="3"/>
      <c r="B200" s="3"/>
      <c r="C200" s="3"/>
      <c r="E200" s="3"/>
      <c r="F200" s="4"/>
      <c r="G200" s="5"/>
      <c r="H200" s="5"/>
      <c r="I200" s="5"/>
    </row>
    <row r="201" spans="1:9" x14ac:dyDescent="0.25">
      <c r="A201" s="3"/>
      <c r="B201" s="3"/>
      <c r="C201" s="3"/>
      <c r="E201" s="3"/>
      <c r="F201" s="4"/>
      <c r="G201" s="5"/>
      <c r="H201" s="5"/>
      <c r="I201" s="5"/>
    </row>
    <row r="202" spans="1:9" x14ac:dyDescent="0.25">
      <c r="A202" s="3"/>
      <c r="B202" s="3"/>
      <c r="C202" s="3"/>
      <c r="E202" s="3"/>
      <c r="F202" s="4"/>
      <c r="G202" s="5"/>
      <c r="H202" s="5"/>
      <c r="I202" s="5"/>
    </row>
    <row r="203" spans="1:9" x14ac:dyDescent="0.25">
      <c r="A203" s="3"/>
      <c r="B203" s="3"/>
      <c r="C203" s="3"/>
      <c r="E203" s="3"/>
      <c r="F203" s="4"/>
      <c r="G203" s="5"/>
      <c r="H203" s="5"/>
      <c r="I203" s="5"/>
    </row>
    <row r="204" spans="1:9" x14ac:dyDescent="0.25">
      <c r="A204" s="3"/>
      <c r="B204" s="3"/>
      <c r="C204" s="3"/>
      <c r="E204" s="3"/>
      <c r="F204" s="4"/>
      <c r="G204" s="5"/>
      <c r="H204" s="5"/>
      <c r="I204" s="5"/>
    </row>
    <row r="205" spans="1:9" x14ac:dyDescent="0.25">
      <c r="A205" s="3"/>
      <c r="B205" s="3"/>
      <c r="C205" s="3"/>
      <c r="E205" s="3"/>
      <c r="F205" s="4"/>
      <c r="G205" s="5"/>
      <c r="H205" s="5"/>
      <c r="I205" s="5"/>
    </row>
    <row r="206" spans="1:9" x14ac:dyDescent="0.25">
      <c r="A206" s="3"/>
      <c r="B206" s="3"/>
      <c r="C206" s="3"/>
      <c r="E206" s="3"/>
      <c r="F206" s="4"/>
      <c r="G206" s="5"/>
      <c r="H206" s="5"/>
      <c r="I206" s="5"/>
    </row>
    <row r="207" spans="1:9" x14ac:dyDescent="0.25">
      <c r="A207" s="3"/>
      <c r="B207" s="3"/>
      <c r="C207" s="3"/>
      <c r="E207" s="3"/>
      <c r="F207" s="4"/>
      <c r="G207" s="5"/>
      <c r="H207" s="5"/>
      <c r="I207" s="5"/>
    </row>
    <row r="208" spans="1:9" x14ac:dyDescent="0.25">
      <c r="A208" s="3"/>
      <c r="B208" s="3"/>
      <c r="C208" s="3"/>
      <c r="E208" s="3"/>
      <c r="F208" s="4"/>
      <c r="G208" s="5"/>
      <c r="H208" s="5"/>
      <c r="I208" s="5"/>
    </row>
    <row r="209" spans="1:10" x14ac:dyDescent="0.25">
      <c r="A209" s="3"/>
      <c r="B209" s="3"/>
      <c r="C209" s="3"/>
      <c r="E209" s="3"/>
      <c r="F209" s="4"/>
      <c r="G209" s="5"/>
      <c r="H209" s="5"/>
      <c r="I209" s="5"/>
    </row>
    <row r="210" spans="1:10" x14ac:dyDescent="0.25">
      <c r="A210" s="3"/>
      <c r="B210" s="3"/>
      <c r="C210" s="3"/>
      <c r="E210" s="3"/>
      <c r="F210" s="4"/>
      <c r="G210" s="5"/>
      <c r="H210" s="5"/>
      <c r="I210" s="5"/>
    </row>
    <row r="211" spans="1:10" x14ac:dyDescent="0.25">
      <c r="A211" s="3"/>
      <c r="B211" s="3"/>
      <c r="C211" s="3"/>
      <c r="E211" s="3"/>
      <c r="F211" s="4"/>
      <c r="G211" s="5"/>
      <c r="H211" s="5"/>
      <c r="I211" s="5"/>
    </row>
    <row r="212" spans="1:10" x14ac:dyDescent="0.25">
      <c r="A212" s="3"/>
      <c r="B212" s="3"/>
      <c r="C212" s="3"/>
      <c r="E212" s="3"/>
      <c r="F212" s="4"/>
      <c r="G212" s="5"/>
      <c r="H212" s="5"/>
      <c r="I212" s="5"/>
    </row>
    <row r="213" spans="1:10" x14ac:dyDescent="0.25">
      <c r="A213" s="3"/>
      <c r="B213" s="3"/>
      <c r="C213" s="3"/>
      <c r="E213" s="3"/>
      <c r="F213" s="4"/>
      <c r="G213" s="5"/>
      <c r="H213" s="5"/>
      <c r="I213" s="5"/>
    </row>
    <row r="214" spans="1:10" ht="25.15" customHeight="1" x14ac:dyDescent="0.25">
      <c r="A214" s="10"/>
      <c r="B214" s="10"/>
      <c r="C214" s="10"/>
      <c r="D214" s="153" t="s">
        <v>671</v>
      </c>
      <c r="E214" s="10"/>
      <c r="F214" s="10"/>
      <c r="G214" s="10"/>
      <c r="H214" s="10"/>
      <c r="I214" s="10"/>
    </row>
    <row r="215" spans="1:10" ht="18" x14ac:dyDescent="0.25">
      <c r="A215" s="8"/>
      <c r="B215" s="8"/>
      <c r="C215" s="8"/>
      <c r="D215" s="150" t="s">
        <v>592</v>
      </c>
      <c r="E215" s="8"/>
      <c r="F215" s="8"/>
      <c r="G215" s="8"/>
      <c r="H215" s="8"/>
      <c r="I215" s="8"/>
    </row>
    <row r="216" spans="1:10" ht="18" x14ac:dyDescent="0.25">
      <c r="A216" s="8"/>
      <c r="B216" s="8"/>
      <c r="D216" s="150" t="s">
        <v>664</v>
      </c>
      <c r="E216" s="8"/>
      <c r="F216" s="8"/>
      <c r="G216" s="8"/>
      <c r="H216" s="8"/>
      <c r="I216" s="8"/>
    </row>
    <row r="217" spans="1:10" ht="18" x14ac:dyDescent="0.25">
      <c r="A217" s="8"/>
      <c r="B217" s="8"/>
      <c r="D217" s="150" t="s">
        <v>663</v>
      </c>
      <c r="E217" s="8"/>
      <c r="F217" s="8"/>
      <c r="G217" s="8"/>
      <c r="H217" s="8"/>
      <c r="I217" s="8"/>
    </row>
    <row r="218" spans="1:10" ht="18" x14ac:dyDescent="0.25">
      <c r="A218" s="10"/>
      <c r="B218" s="10"/>
      <c r="C218" s="10"/>
      <c r="D218" s="150" t="s">
        <v>672</v>
      </c>
      <c r="E218" s="10"/>
      <c r="F218" s="10"/>
      <c r="G218" s="10"/>
      <c r="H218" s="10"/>
      <c r="I218" s="10"/>
    </row>
    <row r="219" spans="1:10" ht="18.75" x14ac:dyDescent="0.25">
      <c r="D219" s="117"/>
    </row>
    <row r="220" spans="1:10" ht="18.75" x14ac:dyDescent="0.25">
      <c r="D220" s="117"/>
    </row>
    <row r="221" spans="1:10" ht="18.75" x14ac:dyDescent="0.25">
      <c r="D221" s="117"/>
      <c r="G221" s="59"/>
      <c r="J221" s="60"/>
    </row>
    <row r="222" spans="1:10" ht="18.75" x14ac:dyDescent="0.25">
      <c r="D222" s="117"/>
      <c r="E222" s="60"/>
      <c r="J222" s="60"/>
    </row>
    <row r="223" spans="1:10" ht="18.75" x14ac:dyDescent="0.25">
      <c r="D223" s="117"/>
      <c r="J223" s="60"/>
    </row>
    <row r="224" spans="1:10" ht="18" x14ac:dyDescent="0.25">
      <c r="D224" s="118"/>
    </row>
    <row r="225" spans="4:4" ht="18.75" x14ac:dyDescent="0.25">
      <c r="D225" s="117"/>
    </row>
    <row r="226" spans="4:4" ht="18.75" x14ac:dyDescent="0.25">
      <c r="D226" s="117"/>
    </row>
    <row r="227" spans="4:4" ht="18.75" x14ac:dyDescent="0.25">
      <c r="D227" s="117"/>
    </row>
    <row r="228" spans="4:4" ht="18.75" x14ac:dyDescent="0.25">
      <c r="D228" s="119"/>
    </row>
    <row r="229" spans="4:4" ht="18" x14ac:dyDescent="0.25">
      <c r="D229" s="120"/>
    </row>
    <row r="230" spans="4:4" ht="18" x14ac:dyDescent="0.25">
      <c r="D230" s="120"/>
    </row>
  </sheetData>
  <mergeCells count="53">
    <mergeCell ref="A181:I181"/>
    <mergeCell ref="A180:G180"/>
    <mergeCell ref="F182:H182"/>
    <mergeCell ref="A164:G164"/>
    <mergeCell ref="E178:I178"/>
    <mergeCell ref="E166:I166"/>
    <mergeCell ref="A144:I144"/>
    <mergeCell ref="E172:I172"/>
    <mergeCell ref="A176:G176"/>
    <mergeCell ref="A177:I177"/>
    <mergeCell ref="E145:I145"/>
    <mergeCell ref="A171:I171"/>
    <mergeCell ref="A170:G170"/>
    <mergeCell ref="B6:E6"/>
    <mergeCell ref="B7:E7"/>
    <mergeCell ref="B8:E8"/>
    <mergeCell ref="A126:G126"/>
    <mergeCell ref="E80:I80"/>
    <mergeCell ref="E101:I101"/>
    <mergeCell ref="A32:I32"/>
    <mergeCell ref="A31:G31"/>
    <mergeCell ref="A1:A5"/>
    <mergeCell ref="A9:I9"/>
    <mergeCell ref="A10:I10"/>
    <mergeCell ref="E44:I44"/>
    <mergeCell ref="E71:I71"/>
    <mergeCell ref="A20:I20"/>
    <mergeCell ref="A19:G19"/>
    <mergeCell ref="A59:G59"/>
    <mergeCell ref="A51:I51"/>
    <mergeCell ref="A50:G50"/>
    <mergeCell ref="A43:I43"/>
    <mergeCell ref="E14:I14"/>
    <mergeCell ref="E61:I61"/>
    <mergeCell ref="G8:H8"/>
    <mergeCell ref="B1:I5"/>
    <mergeCell ref="I7:I8"/>
    <mergeCell ref="D193:F193"/>
    <mergeCell ref="A165:I165"/>
    <mergeCell ref="A100:I100"/>
    <mergeCell ref="A143:G143"/>
    <mergeCell ref="E21:I21"/>
    <mergeCell ref="E52:I52"/>
    <mergeCell ref="E33:I33"/>
    <mergeCell ref="A79:I79"/>
    <mergeCell ref="A127:I127"/>
    <mergeCell ref="A70:I70"/>
    <mergeCell ref="A69:G69"/>
    <mergeCell ref="A60:I60"/>
    <mergeCell ref="A99:G99"/>
    <mergeCell ref="E128:I128"/>
    <mergeCell ref="A78:G78"/>
    <mergeCell ref="A182:E182"/>
  </mergeCells>
  <phoneticPr fontId="8" type="noConversion"/>
  <conditionalFormatting sqref="A22:A32 J32:XFD33 B45:XFD48 A45:A51 B49:C49 E49:XFD49 A62:A70 A72:A79 B76:XFD77 A81:XFD81 B102:D124 A102:A127 J104:XFD145 F109:I124 B167:XFD169 A167:A171 J181:XFD1048576">
    <cfRule type="cellIs" dxfId="57" priority="328" operator="equal">
      <formula>"""informar dados"""</formula>
    </cfRule>
  </conditionalFormatting>
  <conditionalFormatting sqref="A53:A60">
    <cfRule type="cellIs" dxfId="56" priority="116" operator="equal">
      <formula>"""informar dados"""</formula>
    </cfRule>
  </conditionalFormatting>
  <conditionalFormatting sqref="A82:A100">
    <cfRule type="cellIs" dxfId="55" priority="123" operator="equal">
      <formula>"""informar dados"""</formula>
    </cfRule>
  </conditionalFormatting>
  <conditionalFormatting sqref="A146:A165">
    <cfRule type="cellIs" dxfId="54" priority="125" operator="equal">
      <formula>"""informar dados"""</formula>
    </cfRule>
  </conditionalFormatting>
  <conditionalFormatting sqref="A176:A177">
    <cfRule type="cellIs" dxfId="53" priority="113" operator="equal">
      <formula>"""informar dados"""</formula>
    </cfRule>
  </conditionalFormatting>
  <conditionalFormatting sqref="A179:A181">
    <cfRule type="cellIs" dxfId="52" priority="243" operator="equal">
      <formula>"""informar dados"""</formula>
    </cfRule>
  </conditionalFormatting>
  <conditionalFormatting sqref="A6:B6 F6 G6:G8 A8">
    <cfRule type="cellIs" dxfId="51" priority="1004" operator="equal">
      <formula>"""informar dados"""</formula>
    </cfRule>
  </conditionalFormatting>
  <conditionalFormatting sqref="A214:B214">
    <cfRule type="cellIs" dxfId="50" priority="995" operator="equal">
      <formula>"""informar dados"""</formula>
    </cfRule>
  </conditionalFormatting>
  <conditionalFormatting sqref="A216:B218">
    <cfRule type="cellIs" dxfId="49" priority="993" operator="equal">
      <formula>"""informar dados"""</formula>
    </cfRule>
  </conditionalFormatting>
  <conditionalFormatting sqref="A21:D21">
    <cfRule type="cellIs" dxfId="48" priority="597" operator="equal">
      <formula>"""informar dados"""</formula>
    </cfRule>
  </conditionalFormatting>
  <conditionalFormatting sqref="A33:D33">
    <cfRule type="cellIs" dxfId="47" priority="527" operator="equal">
      <formula>"""informar dados"""</formula>
    </cfRule>
  </conditionalFormatting>
  <conditionalFormatting sqref="A44:D44">
    <cfRule type="cellIs" dxfId="46" priority="525" operator="equal">
      <formula>"""informar dados"""</formula>
    </cfRule>
  </conditionalFormatting>
  <conditionalFormatting sqref="A52:D52">
    <cfRule type="cellIs" dxfId="45" priority="524" operator="equal">
      <formula>"""informar dados"""</formula>
    </cfRule>
  </conditionalFormatting>
  <conditionalFormatting sqref="A61:D61">
    <cfRule type="cellIs" dxfId="44" priority="523" operator="equal">
      <formula>"""informar dados"""</formula>
    </cfRule>
  </conditionalFormatting>
  <conditionalFormatting sqref="A71:D71">
    <cfRule type="cellIs" dxfId="43" priority="485" operator="equal">
      <formula>"""informar dados"""</formula>
    </cfRule>
  </conditionalFormatting>
  <conditionalFormatting sqref="A80:D80">
    <cfRule type="cellIs" dxfId="42" priority="121" operator="equal">
      <formula>"""informar dados"""</formula>
    </cfRule>
  </conditionalFormatting>
  <conditionalFormatting sqref="A101:D101">
    <cfRule type="cellIs" dxfId="41" priority="483" operator="equal">
      <formula>"""informar dados"""</formula>
    </cfRule>
  </conditionalFormatting>
  <conditionalFormatting sqref="A128:D128">
    <cfRule type="cellIs" dxfId="40" priority="129" operator="equal">
      <formula>"""informar dados"""</formula>
    </cfRule>
  </conditionalFormatting>
  <conditionalFormatting sqref="A145:D145">
    <cfRule type="cellIs" dxfId="39" priority="127" operator="equal">
      <formula>"""informar dados"""</formula>
    </cfRule>
  </conditionalFormatting>
  <conditionalFormatting sqref="A166:D166">
    <cfRule type="cellIs" dxfId="38" priority="522" operator="equal">
      <formula>"""informar dados"""</formula>
    </cfRule>
  </conditionalFormatting>
  <conditionalFormatting sqref="A172:D172">
    <cfRule type="cellIs" dxfId="37" priority="425" operator="equal">
      <formula>"""informar dados"""</formula>
    </cfRule>
  </conditionalFormatting>
  <conditionalFormatting sqref="A178:D178">
    <cfRule type="cellIs" dxfId="36" priority="521" operator="equal">
      <formula>"""informar dados"""</formula>
    </cfRule>
  </conditionalFormatting>
  <conditionalFormatting sqref="A34:XFD41">
    <cfRule type="cellIs" dxfId="35" priority="5" operator="equal">
      <formula>"""informar dados"""</formula>
    </cfRule>
  </conditionalFormatting>
  <conditionalFormatting sqref="B72:B73">
    <cfRule type="cellIs" dxfId="34" priority="673" operator="equal">
      <formula>"""informar dados"""</formula>
    </cfRule>
  </conditionalFormatting>
  <conditionalFormatting sqref="B74:D74">
    <cfRule type="cellIs" dxfId="33" priority="17" operator="equal">
      <formula>"""informar dados"""</formula>
    </cfRule>
  </conditionalFormatting>
  <conditionalFormatting sqref="B125:G125">
    <cfRule type="cellIs" dxfId="32" priority="22" operator="equal">
      <formula>"""informar dados"""</formula>
    </cfRule>
  </conditionalFormatting>
  <conditionalFormatting sqref="B129:G129 B130:D131 F130:G131 B132:G133 B134:D142 F134:G142">
    <cfRule type="cellIs" dxfId="31" priority="344" operator="equal">
      <formula>"""informar dados"""</formula>
    </cfRule>
  </conditionalFormatting>
  <conditionalFormatting sqref="B75:I75">
    <cfRule type="cellIs" dxfId="30" priority="3" operator="equal">
      <formula>"""informar dados"""</formula>
    </cfRule>
  </conditionalFormatting>
  <conditionalFormatting sqref="B160:I163">
    <cfRule type="cellIs" dxfId="29" priority="1" operator="equal">
      <formula>"""informar dados"""</formula>
    </cfRule>
  </conditionalFormatting>
  <conditionalFormatting sqref="B62:XFD68">
    <cfRule type="cellIs" dxfId="28" priority="36" operator="equal">
      <formula>"""informar dados"""</formula>
    </cfRule>
  </conditionalFormatting>
  <conditionalFormatting sqref="B82:XFD98">
    <cfRule type="cellIs" dxfId="27" priority="14" operator="equal">
      <formula>"""informar dados"""</formula>
    </cfRule>
  </conditionalFormatting>
  <conditionalFormatting sqref="B146:XFD159">
    <cfRule type="cellIs" dxfId="26" priority="52" operator="equal">
      <formula>"""informar dados"""</formula>
    </cfRule>
  </conditionalFormatting>
  <conditionalFormatting sqref="C72">
    <cfRule type="cellIs" dxfId="25" priority="672" operator="equal">
      <formula>"""informar dados"""</formula>
    </cfRule>
  </conditionalFormatting>
  <conditionalFormatting sqref="D214:D230">
    <cfRule type="cellIs" dxfId="24" priority="11" operator="equal">
      <formula>"""informar dados"""</formula>
    </cfRule>
  </conditionalFormatting>
  <conditionalFormatting sqref="E115">
    <cfRule type="cellIs" dxfId="23" priority="30" operator="equal">
      <formula>"""informar dados"""</formula>
    </cfRule>
  </conditionalFormatting>
  <conditionalFormatting sqref="E120:E124">
    <cfRule type="cellIs" dxfId="22" priority="21" operator="equal">
      <formula>"""informar dados"""</formula>
    </cfRule>
  </conditionalFormatting>
  <conditionalFormatting sqref="E103:I108">
    <cfRule type="cellIs" dxfId="21" priority="354" operator="equal">
      <formula>"""informar dados"""</formula>
    </cfRule>
  </conditionalFormatting>
  <conditionalFormatting sqref="F74:I74">
    <cfRule type="cellIs" dxfId="20" priority="31" operator="equal">
      <formula>"""informar dados"""</formula>
    </cfRule>
  </conditionalFormatting>
  <conditionalFormatting sqref="H6:H7">
    <cfRule type="cellIs" dxfId="19" priority="15" operator="equal">
      <formula>"""informar dados"""</formula>
    </cfRule>
  </conditionalFormatting>
  <conditionalFormatting sqref="H59:I59">
    <cfRule type="cellIs" dxfId="18" priority="564" operator="equal">
      <formula>"""informar dados"""</formula>
    </cfRule>
  </conditionalFormatting>
  <conditionalFormatting sqref="H69:I69">
    <cfRule type="cellIs" dxfId="17" priority="947" operator="equal">
      <formula>"""informar dados"""</formula>
    </cfRule>
  </conditionalFormatting>
  <conditionalFormatting sqref="H125:I126">
    <cfRule type="cellIs" dxfId="16" priority="28" operator="equal">
      <formula>"""informar dados"""</formula>
    </cfRule>
  </conditionalFormatting>
  <conditionalFormatting sqref="H164:I164">
    <cfRule type="cellIs" dxfId="15" priority="179" operator="equal">
      <formula>"""informar dados"""</formula>
    </cfRule>
  </conditionalFormatting>
  <conditionalFormatting sqref="H176:I176">
    <cfRule type="cellIs" dxfId="14" priority="421" operator="equal">
      <formula>"""informar dados"""</formula>
    </cfRule>
  </conditionalFormatting>
  <conditionalFormatting sqref="I6 A10:I13 A14:E14 H19:I19 A42:I42 A43 H170:I170 E183:I192 A183:C213 G193:I193 E194:I213 A215:C215 E215:I217">
    <cfRule type="cellIs" dxfId="13" priority="1005" operator="equal">
      <formula>"""informar dados"""</formula>
    </cfRule>
  </conditionalFormatting>
  <conditionalFormatting sqref="J10:XFD14 B15:XFD18 A15:A20 J19:XFD21 B22:XFD30 H31:XFD31 J42:XFD44 H50:XFD50 J51:XFD52 B53:XFD58 J59:XFD61 J69:XFD75 D72:I73 H78:XFD78 J79:XFD80 H99:XFD99 J100:XFD101 F102:XFD102 H129:I143 A129:A144 J160:XFD166 J170:XFD172 A173:XFD175 J176:XFD178 B179:XFD179 H180:XFD180 A219:C230 E219:I230 A231:I1048576">
    <cfRule type="cellIs" dxfId="12" priority="281" operator="equal">
      <formula>"""informar dados"""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horizontalDpi="360" verticalDpi="36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58"/>
  <sheetViews>
    <sheetView workbookViewId="0">
      <selection activeCell="B5" sqref="B5"/>
    </sheetView>
  </sheetViews>
  <sheetFormatPr defaultRowHeight="15" x14ac:dyDescent="0.25"/>
  <cols>
    <col min="1" max="1" width="11" customWidth="1"/>
    <col min="2" max="2" width="10.85546875" customWidth="1"/>
    <col min="3" max="3" width="11.7109375" customWidth="1"/>
    <col min="4" max="4" width="12.42578125" customWidth="1"/>
    <col min="5" max="5" width="12.7109375" customWidth="1"/>
    <col min="6" max="6" width="11.28515625" customWidth="1"/>
    <col min="7" max="7" width="10.5703125" customWidth="1"/>
    <col min="8" max="9" width="9.5703125" customWidth="1"/>
    <col min="16" max="16" width="10.28515625" bestFit="1" customWidth="1"/>
  </cols>
  <sheetData>
    <row r="2" spans="1:16" x14ac:dyDescent="0.25">
      <c r="A2" s="268" t="s">
        <v>224</v>
      </c>
      <c r="B2" s="269"/>
      <c r="C2" s="269"/>
      <c r="D2" s="269"/>
      <c r="E2" s="269"/>
      <c r="F2" s="269"/>
      <c r="G2" s="269"/>
      <c r="H2" s="269"/>
      <c r="I2" s="269"/>
      <c r="J2" s="269"/>
    </row>
    <row r="3" spans="1:16" x14ac:dyDescent="0.25">
      <c r="A3" s="42"/>
      <c r="B3" s="42" t="s">
        <v>225</v>
      </c>
      <c r="C3" s="42" t="s">
        <v>226</v>
      </c>
      <c r="D3" s="42" t="s">
        <v>227</v>
      </c>
      <c r="E3" s="42" t="s">
        <v>228</v>
      </c>
      <c r="F3" s="48" t="s">
        <v>229</v>
      </c>
      <c r="G3" s="52" t="s">
        <v>231</v>
      </c>
      <c r="H3" s="52" t="s">
        <v>232</v>
      </c>
      <c r="I3" s="42" t="s">
        <v>340</v>
      </c>
      <c r="J3" s="42" t="s">
        <v>235</v>
      </c>
    </row>
    <row r="4" spans="1:16" x14ac:dyDescent="0.25">
      <c r="A4" s="42" t="s">
        <v>144</v>
      </c>
      <c r="B4" s="42">
        <v>1.2</v>
      </c>
      <c r="C4" s="42">
        <v>3</v>
      </c>
      <c r="D4" s="42">
        <v>3</v>
      </c>
      <c r="E4" s="42">
        <v>3</v>
      </c>
      <c r="F4" s="48">
        <v>1.2</v>
      </c>
      <c r="G4" s="42">
        <v>0.15</v>
      </c>
      <c r="H4" s="42">
        <v>0.15</v>
      </c>
      <c r="I4" s="42">
        <v>0.15</v>
      </c>
      <c r="J4" s="44">
        <v>1.1000000000000001</v>
      </c>
    </row>
    <row r="5" spans="1:16" x14ac:dyDescent="0.25">
      <c r="A5" s="42" t="s">
        <v>106</v>
      </c>
      <c r="B5" s="42">
        <f>6+7.86+8.8+4.6+1.7</f>
        <v>28.959999999999997</v>
      </c>
      <c r="C5" s="42">
        <f>3+3+2.5+2.5+2+2+2+2-((0.9*2.1)+(0.9*2.1)+(0.8*0.6))</f>
        <v>14.74</v>
      </c>
      <c r="D5" s="42">
        <f>3+3+2.5+2.5+1.5+1.5+1.5+1.5-((0.9*2.1)+(0.9*2.1)+(0.8*0.6))</f>
        <v>12.74</v>
      </c>
      <c r="E5" s="42">
        <f>1.3+1.3+2.5+2.5-((2.1*0.8)+(0.8*0.6))</f>
        <v>5.4399999999999995</v>
      </c>
      <c r="F5" s="48">
        <f>2.65+2.65+1.7</f>
        <v>7</v>
      </c>
      <c r="G5" s="42">
        <f>14.5-0.9</f>
        <v>13.6</v>
      </c>
      <c r="H5" s="42">
        <f>16.45-2-2.5-3-0.9</f>
        <v>8.0499999999999989</v>
      </c>
      <c r="I5" s="42">
        <f>38.5-1-0.8-1.7-2.5</f>
        <v>32.5</v>
      </c>
      <c r="J5" s="1">
        <v>6.8</v>
      </c>
    </row>
    <row r="6" spans="1:16" x14ac:dyDescent="0.25">
      <c r="A6" s="42" t="s">
        <v>230</v>
      </c>
      <c r="B6" s="42">
        <f>52.45-18.36</f>
        <v>34.090000000000003</v>
      </c>
      <c r="C6" s="42">
        <f>5+6</f>
        <v>11</v>
      </c>
      <c r="D6" s="42">
        <f>3.75+4.5</f>
        <v>8.25</v>
      </c>
      <c r="E6" s="42">
        <v>3.25</v>
      </c>
      <c r="F6" s="42">
        <v>4.5</v>
      </c>
      <c r="G6" s="42">
        <v>10.4</v>
      </c>
      <c r="H6" s="42">
        <v>18.8</v>
      </c>
      <c r="I6" s="42">
        <v>86.25</v>
      </c>
      <c r="J6" s="1"/>
    </row>
    <row r="7" spans="1:16" x14ac:dyDescent="0.25">
      <c r="A7" s="70"/>
      <c r="B7" s="70"/>
      <c r="C7" s="46"/>
      <c r="D7" s="46"/>
      <c r="E7" s="46"/>
      <c r="F7" s="46"/>
      <c r="G7" s="210" t="s">
        <v>341</v>
      </c>
      <c r="H7" s="210"/>
      <c r="I7" s="69">
        <f>B6+C6+D6+E6+F6+G6+H6+I6</f>
        <v>176.54000000000002</v>
      </c>
    </row>
    <row r="8" spans="1:16" x14ac:dyDescent="0.25">
      <c r="A8" s="46"/>
      <c r="E8" s="53"/>
      <c r="F8" s="53"/>
      <c r="G8" s="210" t="s">
        <v>342</v>
      </c>
      <c r="H8" s="210"/>
      <c r="I8" s="71">
        <f>G5+H5+I5</f>
        <v>54.15</v>
      </c>
    </row>
    <row r="9" spans="1:16" x14ac:dyDescent="0.25">
      <c r="A9" s="46"/>
      <c r="B9" s="46"/>
      <c r="C9" s="46"/>
      <c r="D9" s="46"/>
      <c r="E9" s="46"/>
      <c r="F9" s="46"/>
      <c r="G9" s="210" t="s">
        <v>343</v>
      </c>
      <c r="H9" s="210"/>
      <c r="I9" s="69">
        <f>(B4*B5)+(C4*C5)+(D4*D5)+(E4*E5)+(F4*F5)+(J4*J5)</f>
        <v>149.392</v>
      </c>
    </row>
    <row r="10" spans="1:16" x14ac:dyDescent="0.25">
      <c r="A10" s="239" t="s">
        <v>233</v>
      </c>
      <c r="B10" s="226"/>
      <c r="C10" s="226"/>
      <c r="D10" s="240"/>
    </row>
    <row r="11" spans="1:16" x14ac:dyDescent="0.25">
      <c r="A11" s="42"/>
      <c r="B11" s="42" t="s">
        <v>210</v>
      </c>
      <c r="C11" s="42" t="s">
        <v>212</v>
      </c>
      <c r="D11" s="42" t="s">
        <v>211</v>
      </c>
    </row>
    <row r="12" spans="1:16" x14ac:dyDescent="0.25">
      <c r="A12" s="42" t="s">
        <v>144</v>
      </c>
      <c r="B12" s="42">
        <f>4.5-1.2</f>
        <v>3.3</v>
      </c>
      <c r="C12" s="42">
        <v>4.5</v>
      </c>
      <c r="D12" s="42">
        <v>4.5</v>
      </c>
      <c r="O12" s="244" t="s">
        <v>458</v>
      </c>
      <c r="P12" s="244"/>
    </row>
    <row r="13" spans="1:16" x14ac:dyDescent="0.25">
      <c r="A13" s="42" t="s">
        <v>106</v>
      </c>
      <c r="B13" s="42">
        <f>29.5</f>
        <v>29.5</v>
      </c>
      <c r="C13" s="42">
        <f>B13</f>
        <v>29.5</v>
      </c>
      <c r="D13" s="42">
        <f>B13</f>
        <v>29.5</v>
      </c>
      <c r="O13" s="42" t="s">
        <v>459</v>
      </c>
      <c r="P13" s="42" t="s">
        <v>460</v>
      </c>
    </row>
    <row r="14" spans="1:16" x14ac:dyDescent="0.25">
      <c r="A14" s="42" t="s">
        <v>213</v>
      </c>
      <c r="B14" s="42"/>
      <c r="C14" s="42"/>
      <c r="D14" s="42"/>
      <c r="O14">
        <v>29.47</v>
      </c>
      <c r="P14">
        <f>0.9+0.9+2.03</f>
        <v>3.83</v>
      </c>
    </row>
    <row r="15" spans="1:16" x14ac:dyDescent="0.25">
      <c r="A15" s="42" t="s">
        <v>234</v>
      </c>
      <c r="B15" s="42">
        <f>3*(1.2*0.6)</f>
        <v>2.16</v>
      </c>
      <c r="C15" s="42">
        <f>3*(1.2*0.6)+2.5*2.1+2.1*0.9+2.1*0.9</f>
        <v>11.190000000000001</v>
      </c>
      <c r="D15" s="42">
        <f>3*(1.2*0.6)+2.5*2.1+2.1*0.9+2.1*0.9</f>
        <v>11.190000000000001</v>
      </c>
      <c r="O15">
        <v>9</v>
      </c>
      <c r="P15">
        <f>0.9+0.9</f>
        <v>1.8</v>
      </c>
    </row>
    <row r="16" spans="1:16" x14ac:dyDescent="0.25">
      <c r="A16" s="51" t="s">
        <v>209</v>
      </c>
      <c r="B16" s="51">
        <f>(B12*B13)-B15</f>
        <v>95.19</v>
      </c>
      <c r="C16" s="51">
        <f>(C12*C13)-C15</f>
        <v>121.56</v>
      </c>
      <c r="D16" s="51">
        <f>(D12*D13)-D15</f>
        <v>121.56</v>
      </c>
      <c r="O16">
        <v>10</v>
      </c>
      <c r="P16">
        <v>0.9</v>
      </c>
    </row>
    <row r="17" spans="1:16" x14ac:dyDescent="0.25">
      <c r="A17" s="46"/>
      <c r="B17" s="46"/>
      <c r="C17" s="46"/>
      <c r="D17" s="46"/>
      <c r="O17">
        <v>8</v>
      </c>
      <c r="P17">
        <f>0.9+0.9</f>
        <v>1.8</v>
      </c>
    </row>
    <row r="18" spans="1:16" x14ac:dyDescent="0.25">
      <c r="O18">
        <v>9</v>
      </c>
      <c r="P18">
        <v>0.9</v>
      </c>
    </row>
    <row r="19" spans="1:16" x14ac:dyDescent="0.25">
      <c r="O19">
        <v>14.53</v>
      </c>
      <c r="P19">
        <v>0.9</v>
      </c>
    </row>
    <row r="20" spans="1:16" x14ac:dyDescent="0.25">
      <c r="A20" s="239" t="s">
        <v>235</v>
      </c>
      <c r="B20" s="226"/>
      <c r="C20" s="240"/>
      <c r="D20" s="46"/>
      <c r="E20" s="244" t="s">
        <v>229</v>
      </c>
      <c r="F20" s="244"/>
      <c r="G20" s="244"/>
      <c r="O20">
        <v>18.96</v>
      </c>
      <c r="P20">
        <f>0.9+2.8+2.03+3</f>
        <v>8.73</v>
      </c>
    </row>
    <row r="21" spans="1:16" x14ac:dyDescent="0.25">
      <c r="A21" s="42"/>
      <c r="B21" s="42" t="s">
        <v>212</v>
      </c>
      <c r="C21" s="42" t="s">
        <v>211</v>
      </c>
      <c r="D21" s="46"/>
      <c r="E21" s="42"/>
      <c r="F21" s="42" t="s">
        <v>212</v>
      </c>
      <c r="G21" s="42" t="s">
        <v>211</v>
      </c>
      <c r="O21">
        <v>7</v>
      </c>
      <c r="P21">
        <v>0</v>
      </c>
    </row>
    <row r="22" spans="1:16" x14ac:dyDescent="0.25">
      <c r="A22" s="42" t="s">
        <v>144</v>
      </c>
      <c r="B22" s="42">
        <v>3.5</v>
      </c>
      <c r="C22" s="42">
        <v>3.5</v>
      </c>
      <c r="D22" s="46"/>
      <c r="E22" s="42" t="s">
        <v>144</v>
      </c>
      <c r="F22" s="42">
        <v>3.5</v>
      </c>
      <c r="G22" s="42">
        <v>3.5</v>
      </c>
      <c r="O22">
        <v>8</v>
      </c>
      <c r="P22">
        <v>0.9</v>
      </c>
    </row>
    <row r="23" spans="1:16" x14ac:dyDescent="0.25">
      <c r="A23" s="42" t="s">
        <v>106</v>
      </c>
      <c r="B23" s="42">
        <f>9+10</f>
        <v>19</v>
      </c>
      <c r="C23" s="42">
        <f>B23</f>
        <v>19</v>
      </c>
      <c r="D23" s="46"/>
      <c r="E23" s="42" t="s">
        <v>106</v>
      </c>
      <c r="F23" s="42">
        <f>1.7+2.65+2.65</f>
        <v>7</v>
      </c>
      <c r="G23" s="42">
        <f>F23</f>
        <v>7</v>
      </c>
      <c r="O23">
        <v>28.33</v>
      </c>
      <c r="P23">
        <f>1.7+0.9+2.8</f>
        <v>5.4</v>
      </c>
    </row>
    <row r="24" spans="1:16" x14ac:dyDescent="0.25">
      <c r="A24" s="42" t="s">
        <v>213</v>
      </c>
      <c r="B24" s="42"/>
      <c r="C24" s="42"/>
      <c r="E24" s="42" t="s">
        <v>213</v>
      </c>
      <c r="F24" s="42"/>
      <c r="G24" s="42"/>
      <c r="O24">
        <v>12.7</v>
      </c>
      <c r="P24">
        <v>0.8</v>
      </c>
    </row>
    <row r="25" spans="1:16" x14ac:dyDescent="0.25">
      <c r="A25" s="42" t="s">
        <v>234</v>
      </c>
      <c r="B25" s="42">
        <f>(B22*B23)+B24</f>
        <v>66.5</v>
      </c>
      <c r="C25" s="42">
        <f>(C22*C23)+C24</f>
        <v>66.5</v>
      </c>
      <c r="E25" s="42" t="s">
        <v>234</v>
      </c>
      <c r="F25" s="42">
        <f>(F22*F23)+F24</f>
        <v>24.5</v>
      </c>
      <c r="G25" s="42">
        <f>(G22*G23)+G24</f>
        <v>24.5</v>
      </c>
      <c r="O25">
        <v>11.4</v>
      </c>
      <c r="P25">
        <v>0.8</v>
      </c>
    </row>
    <row r="26" spans="1:16" x14ac:dyDescent="0.25">
      <c r="A26" s="51" t="s">
        <v>209</v>
      </c>
      <c r="B26" s="51">
        <f>(B23*B24)+B25</f>
        <v>66.5</v>
      </c>
      <c r="C26" s="51">
        <f>(C23*C24)+C25</f>
        <v>66.5</v>
      </c>
      <c r="E26" s="51" t="s">
        <v>209</v>
      </c>
      <c r="F26" s="51">
        <f>(F23*F24)+F25</f>
        <v>24.5</v>
      </c>
      <c r="G26" s="51">
        <f>(G23*G24)+G25</f>
        <v>24.5</v>
      </c>
      <c r="O26">
        <v>7.4</v>
      </c>
      <c r="P26">
        <v>0.8</v>
      </c>
    </row>
    <row r="27" spans="1:16" x14ac:dyDescent="0.25">
      <c r="E27" s="269"/>
      <c r="F27" s="269"/>
      <c r="G27" s="269"/>
      <c r="O27">
        <v>20.8</v>
      </c>
      <c r="P27">
        <f>1+0.8+0.8+0.8</f>
        <v>3.4000000000000004</v>
      </c>
    </row>
    <row r="28" spans="1:16" x14ac:dyDescent="0.25">
      <c r="A28" s="239" t="s">
        <v>227</v>
      </c>
      <c r="B28" s="226"/>
      <c r="C28" s="240"/>
      <c r="E28" s="244" t="s">
        <v>232</v>
      </c>
      <c r="F28" s="244"/>
      <c r="G28" s="244"/>
      <c r="H28" s="244"/>
      <c r="I28" s="46"/>
      <c r="O28">
        <f>SUM(O14:O27)</f>
        <v>194.59000000000003</v>
      </c>
      <c r="P28">
        <f>SUM(P14:P27)</f>
        <v>30.96</v>
      </c>
    </row>
    <row r="29" spans="1:16" x14ac:dyDescent="0.25">
      <c r="A29" s="42"/>
      <c r="B29" s="42" t="s">
        <v>212</v>
      </c>
      <c r="C29" s="42" t="s">
        <v>211</v>
      </c>
      <c r="E29" s="42"/>
      <c r="F29" s="42" t="s">
        <v>81</v>
      </c>
      <c r="G29" s="42" t="s">
        <v>212</v>
      </c>
      <c r="H29" s="42" t="s">
        <v>211</v>
      </c>
      <c r="I29" s="46"/>
      <c r="O29" s="46">
        <f>O28-P28</f>
        <v>163.63000000000002</v>
      </c>
      <c r="P29" s="46"/>
    </row>
    <row r="30" spans="1:16" x14ac:dyDescent="0.25">
      <c r="A30" s="42" t="s">
        <v>144</v>
      </c>
      <c r="B30" s="42">
        <v>3.5</v>
      </c>
      <c r="C30" s="42">
        <v>3.5</v>
      </c>
      <c r="E30" s="42" t="s">
        <v>144</v>
      </c>
      <c r="F30" s="42">
        <v>3.5</v>
      </c>
      <c r="G30" s="42">
        <v>3.5</v>
      </c>
      <c r="H30" s="42">
        <v>3.5</v>
      </c>
      <c r="I30" s="46"/>
    </row>
    <row r="31" spans="1:16" x14ac:dyDescent="0.25">
      <c r="A31" s="42" t="s">
        <v>106</v>
      </c>
      <c r="B31" s="42">
        <f>8+9</f>
        <v>17</v>
      </c>
      <c r="C31" s="42">
        <f>B31</f>
        <v>17</v>
      </c>
      <c r="E31" s="42" t="s">
        <v>106</v>
      </c>
      <c r="F31" s="42">
        <v>18.95</v>
      </c>
      <c r="G31" s="42">
        <v>18.8</v>
      </c>
      <c r="H31" s="42">
        <f>G31</f>
        <v>18.8</v>
      </c>
      <c r="I31" s="46"/>
    </row>
    <row r="32" spans="1:16" x14ac:dyDescent="0.25">
      <c r="A32" s="42" t="s">
        <v>213</v>
      </c>
      <c r="B32" s="42"/>
      <c r="C32" s="42"/>
      <c r="E32" s="42" t="s">
        <v>213</v>
      </c>
      <c r="F32" s="42"/>
      <c r="G32" s="42"/>
      <c r="H32" s="42"/>
      <c r="I32" s="46"/>
    </row>
    <row r="33" spans="1:9" x14ac:dyDescent="0.25">
      <c r="A33" s="51" t="s">
        <v>209</v>
      </c>
      <c r="B33" s="51">
        <f>(B30*B31)+B32</f>
        <v>59.5</v>
      </c>
      <c r="C33" s="51">
        <f>(C30*C31)+C32</f>
        <v>59.5</v>
      </c>
      <c r="E33" s="42" t="s">
        <v>234</v>
      </c>
      <c r="F33" s="42">
        <f>3*2.1+2.5*2.1+2.03*2.1</f>
        <v>15.813000000000001</v>
      </c>
      <c r="G33" s="42">
        <f>2*(2.1*2.5)+3*2.1</f>
        <v>16.8</v>
      </c>
      <c r="H33" s="42">
        <f>G33</f>
        <v>16.8</v>
      </c>
      <c r="I33" s="46"/>
    </row>
    <row r="34" spans="1:9" x14ac:dyDescent="0.25">
      <c r="E34" s="51" t="s">
        <v>209</v>
      </c>
      <c r="F34" s="51">
        <f>F30*F31-F33</f>
        <v>50.512</v>
      </c>
      <c r="G34" s="51">
        <f>G30*G31-G33</f>
        <v>49</v>
      </c>
      <c r="H34" s="51">
        <f>H30*H31-H33</f>
        <v>49</v>
      </c>
      <c r="I34" s="53"/>
    </row>
    <row r="35" spans="1:9" x14ac:dyDescent="0.25">
      <c r="A35" s="239" t="s">
        <v>228</v>
      </c>
      <c r="B35" s="226"/>
      <c r="C35" s="240"/>
    </row>
    <row r="36" spans="1:9" x14ac:dyDescent="0.25">
      <c r="A36" s="42"/>
      <c r="B36" s="42" t="s">
        <v>212</v>
      </c>
      <c r="C36" s="42" t="s">
        <v>211</v>
      </c>
      <c r="E36" s="244" t="s">
        <v>236</v>
      </c>
      <c r="F36" s="244"/>
      <c r="G36" s="244"/>
      <c r="H36" s="244"/>
      <c r="I36" s="46"/>
    </row>
    <row r="37" spans="1:9" x14ac:dyDescent="0.25">
      <c r="A37" s="42" t="s">
        <v>144</v>
      </c>
      <c r="B37" s="42">
        <v>3.5</v>
      </c>
      <c r="C37" s="42">
        <v>3.5</v>
      </c>
      <c r="E37" s="42"/>
      <c r="F37" s="42" t="s">
        <v>81</v>
      </c>
      <c r="G37" s="42" t="s">
        <v>212</v>
      </c>
      <c r="H37" s="42" t="s">
        <v>211</v>
      </c>
      <c r="I37" s="46"/>
    </row>
    <row r="38" spans="1:9" x14ac:dyDescent="0.25">
      <c r="A38" s="42" t="s">
        <v>106</v>
      </c>
      <c r="B38" s="42">
        <v>7.6</v>
      </c>
      <c r="C38" s="42">
        <f>B38</f>
        <v>7.6</v>
      </c>
      <c r="E38" s="42" t="s">
        <v>144</v>
      </c>
      <c r="F38" s="42">
        <v>1</v>
      </c>
      <c r="G38" s="42">
        <v>1</v>
      </c>
      <c r="H38" s="42">
        <v>1</v>
      </c>
      <c r="I38" s="46"/>
    </row>
    <row r="39" spans="1:9" x14ac:dyDescent="0.25">
      <c r="A39" s="42" t="s">
        <v>213</v>
      </c>
      <c r="B39" s="42"/>
      <c r="C39" s="42"/>
      <c r="E39" s="42" t="s">
        <v>106</v>
      </c>
      <c r="F39" s="42">
        <f>59.8+6.8+6.8</f>
        <v>73.399999999999991</v>
      </c>
      <c r="G39" s="42">
        <f>59.8+6.8+6.8</f>
        <v>73.399999999999991</v>
      </c>
      <c r="H39" s="42">
        <f>G39</f>
        <v>73.399999999999991</v>
      </c>
      <c r="I39" s="46"/>
    </row>
    <row r="40" spans="1:9" x14ac:dyDescent="0.25">
      <c r="A40" s="51" t="s">
        <v>209</v>
      </c>
      <c r="B40" s="51">
        <f>(B37*B38)+B39</f>
        <v>26.599999999999998</v>
      </c>
      <c r="C40" s="51">
        <f>(C37*C38)+C39</f>
        <v>26.599999999999998</v>
      </c>
      <c r="E40" s="51" t="s">
        <v>209</v>
      </c>
      <c r="F40" s="51">
        <f>F38*F39</f>
        <v>73.399999999999991</v>
      </c>
      <c r="G40" s="51">
        <f>G38*G39</f>
        <v>73.399999999999991</v>
      </c>
      <c r="H40" s="51">
        <f>H38*H39</f>
        <v>73.399999999999991</v>
      </c>
      <c r="I40" s="53"/>
    </row>
    <row r="41" spans="1:9" x14ac:dyDescent="0.25">
      <c r="E41" s="53"/>
      <c r="F41" s="53"/>
      <c r="G41" s="53"/>
    </row>
    <row r="42" spans="1:9" x14ac:dyDescent="0.25">
      <c r="E42" s="53"/>
      <c r="F42" s="53"/>
      <c r="G42" s="53"/>
    </row>
    <row r="44" spans="1:9" x14ac:dyDescent="0.25">
      <c r="F44" s="42"/>
      <c r="G44" s="51" t="s">
        <v>200</v>
      </c>
    </row>
    <row r="45" spans="1:9" x14ac:dyDescent="0.25">
      <c r="A45" s="239" t="s">
        <v>214</v>
      </c>
      <c r="B45" s="226"/>
      <c r="C45" s="226"/>
      <c r="D45" s="240"/>
      <c r="F45" s="42" t="s">
        <v>81</v>
      </c>
      <c r="G45" s="51">
        <f>B16+B50+F34+F40</f>
        <v>554.00199999999995</v>
      </c>
    </row>
    <row r="46" spans="1:9" x14ac:dyDescent="0.25">
      <c r="A46" s="42"/>
      <c r="B46" s="42" t="s">
        <v>81</v>
      </c>
      <c r="C46" s="42" t="s">
        <v>212</v>
      </c>
      <c r="D46" s="42" t="s">
        <v>211</v>
      </c>
      <c r="F46" s="42" t="s">
        <v>212</v>
      </c>
      <c r="G46" s="51">
        <f>C16+B26+F26+B33+G34+B40+G40+C50</f>
        <v>755.96</v>
      </c>
    </row>
    <row r="47" spans="1:9" x14ac:dyDescent="0.25">
      <c r="A47" s="42" t="s">
        <v>144</v>
      </c>
      <c r="B47" s="42">
        <v>5.5</v>
      </c>
      <c r="C47" s="42">
        <v>5.5</v>
      </c>
      <c r="D47" s="42">
        <v>5.5</v>
      </c>
      <c r="F47" s="42" t="s">
        <v>211</v>
      </c>
      <c r="G47" s="51">
        <f>D16+C26+G26+C33+H34+C40+H40+D50</f>
        <v>755.96</v>
      </c>
    </row>
    <row r="48" spans="1:9" x14ac:dyDescent="0.25">
      <c r="A48" s="42" t="s">
        <v>106</v>
      </c>
      <c r="B48" s="42">
        <v>63</v>
      </c>
      <c r="C48" s="42">
        <f>B48</f>
        <v>63</v>
      </c>
      <c r="D48" s="42">
        <f>B48</f>
        <v>63</v>
      </c>
    </row>
    <row r="49" spans="1:5" x14ac:dyDescent="0.25">
      <c r="A49" s="42" t="s">
        <v>234</v>
      </c>
      <c r="B49" s="42">
        <v>11.6</v>
      </c>
      <c r="C49" s="42">
        <v>11.6</v>
      </c>
      <c r="D49" s="42">
        <v>11.6</v>
      </c>
    </row>
    <row r="50" spans="1:5" x14ac:dyDescent="0.25">
      <c r="A50" s="51" t="s">
        <v>209</v>
      </c>
      <c r="B50" s="51">
        <f>B47*B48-B49</f>
        <v>334.9</v>
      </c>
      <c r="C50" s="51">
        <f>C47*C48-C49</f>
        <v>334.9</v>
      </c>
      <c r="D50" s="51">
        <f>D47*D48-D49</f>
        <v>334.9</v>
      </c>
    </row>
    <row r="53" spans="1:5" x14ac:dyDescent="0.25">
      <c r="A53" s="239" t="s">
        <v>337</v>
      </c>
      <c r="B53" s="226"/>
      <c r="C53" s="226"/>
      <c r="D53" s="240"/>
    </row>
    <row r="54" spans="1:5" x14ac:dyDescent="0.25">
      <c r="A54" s="1"/>
      <c r="B54" s="239" t="s">
        <v>338</v>
      </c>
      <c r="C54" s="240"/>
      <c r="D54" s="1" t="s">
        <v>339</v>
      </c>
    </row>
    <row r="55" spans="1:5" x14ac:dyDescent="0.25">
      <c r="A55" s="1" t="s">
        <v>144</v>
      </c>
      <c r="B55" s="1">
        <v>3.5</v>
      </c>
      <c r="C55" s="1">
        <v>3</v>
      </c>
      <c r="D55" s="1">
        <v>3</v>
      </c>
    </row>
    <row r="56" spans="1:5" x14ac:dyDescent="0.25">
      <c r="A56" s="1" t="s">
        <v>106</v>
      </c>
      <c r="B56" s="1">
        <v>8.4499999999999993</v>
      </c>
      <c r="C56" s="1">
        <f>3.4+3.3+2.5</f>
        <v>9.1999999999999993</v>
      </c>
      <c r="D56" s="1">
        <f>2.5+1.5</f>
        <v>4</v>
      </c>
    </row>
    <row r="57" spans="1:5" x14ac:dyDescent="0.25">
      <c r="A57" s="69" t="s">
        <v>209</v>
      </c>
      <c r="B57" s="69">
        <f>B55*B56</f>
        <v>29.574999999999996</v>
      </c>
      <c r="C57" s="69">
        <f>C55*C56</f>
        <v>27.599999999999998</v>
      </c>
      <c r="D57" s="69">
        <f>D55*D56</f>
        <v>12</v>
      </c>
      <c r="E57" s="57">
        <f>B57+C57+D57</f>
        <v>69.174999999999997</v>
      </c>
    </row>
    <row r="58" spans="1:5" x14ac:dyDescent="0.25">
      <c r="B58">
        <f>B57+C57</f>
        <v>57.174999999999997</v>
      </c>
      <c r="C58">
        <f>B58*2</f>
        <v>114.35</v>
      </c>
    </row>
  </sheetData>
  <mergeCells count="16">
    <mergeCell ref="O12:P12"/>
    <mergeCell ref="B54:C54"/>
    <mergeCell ref="A53:D53"/>
    <mergeCell ref="G7:H7"/>
    <mergeCell ref="G8:H8"/>
    <mergeCell ref="A10:D10"/>
    <mergeCell ref="A2:J2"/>
    <mergeCell ref="G9:H9"/>
    <mergeCell ref="A45:D45"/>
    <mergeCell ref="A20:C20"/>
    <mergeCell ref="E20:G20"/>
    <mergeCell ref="E27:G27"/>
    <mergeCell ref="E36:H36"/>
    <mergeCell ref="E28:H28"/>
    <mergeCell ref="A28:C28"/>
    <mergeCell ref="A35:C3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D6:P35"/>
  <sheetViews>
    <sheetView topLeftCell="A16" workbookViewId="0">
      <selection activeCell="I43" sqref="I43"/>
    </sheetView>
  </sheetViews>
  <sheetFormatPr defaultRowHeight="15" x14ac:dyDescent="0.25"/>
  <cols>
    <col min="4" max="5" width="9.42578125" customWidth="1"/>
    <col min="6" max="6" width="9.85546875" customWidth="1"/>
    <col min="7" max="7" width="10.140625" customWidth="1"/>
    <col min="9" max="9" width="15.140625" customWidth="1"/>
    <col min="10" max="10" width="10.28515625" customWidth="1"/>
    <col min="13" max="13" width="12" customWidth="1"/>
    <col min="14" max="14" width="12.85546875" customWidth="1"/>
    <col min="15" max="15" width="16.28515625" customWidth="1"/>
    <col min="16" max="16" width="17.7109375" customWidth="1"/>
  </cols>
  <sheetData>
    <row r="6" spans="4:16" x14ac:dyDescent="0.25">
      <c r="D6" s="210" t="s">
        <v>180</v>
      </c>
      <c r="E6" s="210"/>
      <c r="F6" s="210"/>
    </row>
    <row r="7" spans="4:16" x14ac:dyDescent="0.25">
      <c r="D7" s="244" t="s">
        <v>144</v>
      </c>
      <c r="E7" s="244"/>
      <c r="F7" s="42">
        <v>0.2</v>
      </c>
    </row>
    <row r="8" spans="4:16" x14ac:dyDescent="0.25">
      <c r="D8" s="244" t="s">
        <v>179</v>
      </c>
      <c r="E8" s="244"/>
      <c r="F8" s="42">
        <v>0.12</v>
      </c>
    </row>
    <row r="9" spans="4:16" x14ac:dyDescent="0.25">
      <c r="D9" s="244" t="s">
        <v>106</v>
      </c>
      <c r="E9" s="244"/>
      <c r="F9" s="42">
        <v>89.3</v>
      </c>
    </row>
    <row r="10" spans="4:16" x14ac:dyDescent="0.25">
      <c r="D10" s="244" t="s">
        <v>146</v>
      </c>
      <c r="E10" s="244"/>
      <c r="F10" s="42">
        <f>F7*F8*F9</f>
        <v>2.1431999999999998</v>
      </c>
    </row>
    <row r="11" spans="4:16" x14ac:dyDescent="0.25">
      <c r="M11" s="51" t="s">
        <v>251</v>
      </c>
      <c r="N11" s="51" t="s">
        <v>252</v>
      </c>
      <c r="O11" s="51" t="s">
        <v>253</v>
      </c>
      <c r="P11" s="51" t="s">
        <v>254</v>
      </c>
    </row>
    <row r="12" spans="4:16" x14ac:dyDescent="0.25">
      <c r="M12" s="42" t="s">
        <v>255</v>
      </c>
      <c r="N12" s="54">
        <v>5</v>
      </c>
      <c r="O12" s="55">
        <v>1.85</v>
      </c>
      <c r="P12" s="42">
        <v>0.15</v>
      </c>
    </row>
    <row r="13" spans="4:16" x14ac:dyDescent="0.25">
      <c r="M13" s="42" t="s">
        <v>244</v>
      </c>
      <c r="N13" s="54">
        <v>6.3</v>
      </c>
      <c r="O13" s="55">
        <v>2.94</v>
      </c>
      <c r="P13" s="42">
        <v>0.25</v>
      </c>
    </row>
    <row r="14" spans="4:16" x14ac:dyDescent="0.25">
      <c r="D14" s="210" t="s">
        <v>243</v>
      </c>
      <c r="E14" s="210"/>
      <c r="F14" s="210"/>
      <c r="G14" s="210"/>
      <c r="I14" s="210" t="s">
        <v>259</v>
      </c>
      <c r="J14" s="210"/>
      <c r="M14" s="42" t="s">
        <v>245</v>
      </c>
      <c r="N14" s="54">
        <v>8</v>
      </c>
      <c r="O14" s="55">
        <v>4.74</v>
      </c>
      <c r="P14" s="42">
        <v>0.4</v>
      </c>
    </row>
    <row r="15" spans="4:16" x14ac:dyDescent="0.25">
      <c r="D15" s="244" t="s">
        <v>102</v>
      </c>
      <c r="E15" s="244"/>
      <c r="F15" s="42">
        <v>5</v>
      </c>
      <c r="G15" s="42">
        <v>8</v>
      </c>
      <c r="I15" s="49" t="s">
        <v>102</v>
      </c>
      <c r="J15" s="49" t="s">
        <v>192</v>
      </c>
      <c r="M15" s="42" t="s">
        <v>246</v>
      </c>
      <c r="N15" s="54">
        <v>10</v>
      </c>
      <c r="O15" s="55">
        <v>7.4</v>
      </c>
      <c r="P15" s="42">
        <v>0.62</v>
      </c>
    </row>
    <row r="16" spans="4:16" x14ac:dyDescent="0.25">
      <c r="D16" s="244" t="s">
        <v>144</v>
      </c>
      <c r="E16" s="244"/>
      <c r="F16" s="42">
        <v>2</v>
      </c>
      <c r="G16" s="42">
        <v>1.2</v>
      </c>
      <c r="I16" s="42" t="s">
        <v>106</v>
      </c>
      <c r="J16" s="42">
        <f>1.6+15.4+1.78+13+2+4+4.5+6.5</f>
        <v>48.78</v>
      </c>
      <c r="M16" s="42" t="s">
        <v>247</v>
      </c>
      <c r="N16" s="54">
        <v>12.5</v>
      </c>
      <c r="O16" s="55">
        <v>11.55</v>
      </c>
      <c r="P16" s="42">
        <v>0.96</v>
      </c>
    </row>
    <row r="17" spans="4:16" x14ac:dyDescent="0.25">
      <c r="D17" s="244" t="s">
        <v>260</v>
      </c>
      <c r="E17" s="244"/>
      <c r="F17" s="42">
        <v>0.14000000000000001</v>
      </c>
      <c r="G17" s="42">
        <v>0.14000000000000001</v>
      </c>
      <c r="I17" s="42" t="s">
        <v>260</v>
      </c>
      <c r="J17" s="42">
        <v>0.14000000000000001</v>
      </c>
      <c r="M17" s="42" t="s">
        <v>248</v>
      </c>
      <c r="N17" s="54">
        <v>16</v>
      </c>
      <c r="O17" s="55">
        <v>18.93</v>
      </c>
      <c r="P17" s="42">
        <v>1.58</v>
      </c>
    </row>
    <row r="18" spans="4:16" x14ac:dyDescent="0.25">
      <c r="D18" s="244" t="s">
        <v>261</v>
      </c>
      <c r="E18" s="244"/>
      <c r="F18" s="42">
        <v>0.3</v>
      </c>
      <c r="G18" s="42">
        <v>0.3</v>
      </c>
      <c r="I18" s="42" t="s">
        <v>261</v>
      </c>
      <c r="J18" s="42">
        <v>0.3</v>
      </c>
      <c r="M18" s="42" t="s">
        <v>249</v>
      </c>
      <c r="N18" s="54">
        <v>20</v>
      </c>
      <c r="O18" s="55">
        <v>29.59</v>
      </c>
      <c r="P18" s="42">
        <v>2.4700000000000002</v>
      </c>
    </row>
    <row r="19" spans="4:16" x14ac:dyDescent="0.25">
      <c r="D19" s="244" t="s">
        <v>258</v>
      </c>
      <c r="E19" s="244"/>
      <c r="F19" s="42">
        <f>F15*F16*F17*F18</f>
        <v>0.42000000000000004</v>
      </c>
      <c r="G19" s="42">
        <f>G15*G16*G17*G18</f>
        <v>0.4032</v>
      </c>
      <c r="I19" s="42" t="s">
        <v>258</v>
      </c>
      <c r="J19" s="42">
        <f>J16*J17*J18</f>
        <v>2.0487600000000001</v>
      </c>
      <c r="M19" s="42" t="s">
        <v>250</v>
      </c>
      <c r="N19" s="54">
        <v>25</v>
      </c>
      <c r="O19" s="55">
        <v>46.23</v>
      </c>
      <c r="P19" s="42">
        <v>3.85</v>
      </c>
    </row>
    <row r="20" spans="4:16" x14ac:dyDescent="0.25">
      <c r="D20" s="244" t="s">
        <v>256</v>
      </c>
      <c r="E20" s="244"/>
      <c r="F20" s="42">
        <f>4*F15*F16*P15*1.1</f>
        <v>27.280000000000005</v>
      </c>
      <c r="G20" s="42">
        <f>4*G15*G16*P15*1.1</f>
        <v>26.188800000000001</v>
      </c>
      <c r="I20" s="42" t="s">
        <v>256</v>
      </c>
      <c r="J20" s="42">
        <f>4*J16*0.5*1.1</f>
        <v>107.31600000000002</v>
      </c>
    </row>
    <row r="21" spans="4:16" x14ac:dyDescent="0.25">
      <c r="D21" s="244" t="s">
        <v>257</v>
      </c>
      <c r="E21" s="244"/>
      <c r="F21" s="42">
        <f>(F16/0.15)*0.75*P12*F15*1.1</f>
        <v>8.25</v>
      </c>
      <c r="G21" s="42">
        <f>(G16/0.15)*0.75*P12*G15*1.1</f>
        <v>7.92</v>
      </c>
      <c r="I21" s="42" t="s">
        <v>257</v>
      </c>
      <c r="J21" s="42">
        <f>(J16/0.15)*P12*1.1</f>
        <v>53.658000000000015</v>
      </c>
    </row>
    <row r="22" spans="4:16" x14ac:dyDescent="0.25">
      <c r="D22" s="244" t="s">
        <v>264</v>
      </c>
      <c r="E22" s="244"/>
      <c r="F22" s="42">
        <f>2*F16*F18*F15</f>
        <v>6</v>
      </c>
      <c r="G22" s="42">
        <f>2*G16*G18*G15</f>
        <v>5.76</v>
      </c>
      <c r="I22" s="42" t="s">
        <v>264</v>
      </c>
      <c r="J22" s="42">
        <f>2*J18*J16</f>
        <v>29.268000000000001</v>
      </c>
    </row>
    <row r="25" spans="4:16" x14ac:dyDescent="0.25">
      <c r="D25" s="210" t="s">
        <v>262</v>
      </c>
      <c r="E25" s="210"/>
      <c r="F25" s="210"/>
      <c r="G25" s="57"/>
      <c r="L25" s="57"/>
      <c r="M25" s="57"/>
      <c r="N25" s="57"/>
    </row>
    <row r="26" spans="4:16" x14ac:dyDescent="0.25">
      <c r="D26" s="244" t="s">
        <v>106</v>
      </c>
      <c r="E26" s="244"/>
      <c r="F26" s="42">
        <v>42.28</v>
      </c>
      <c r="G26" s="46"/>
      <c r="N26" s="46"/>
    </row>
    <row r="27" spans="4:16" x14ac:dyDescent="0.25">
      <c r="D27" s="244" t="s">
        <v>107</v>
      </c>
      <c r="E27" s="244"/>
      <c r="F27" s="42">
        <v>0.14000000000000001</v>
      </c>
      <c r="G27" s="46"/>
      <c r="N27" s="46"/>
    </row>
    <row r="28" spans="4:16" x14ac:dyDescent="0.25">
      <c r="D28" s="244" t="s">
        <v>143</v>
      </c>
      <c r="E28" s="244"/>
      <c r="F28" s="42">
        <f>0.05*2</f>
        <v>0.1</v>
      </c>
      <c r="G28" s="46"/>
      <c r="N28" s="46"/>
    </row>
    <row r="29" spans="4:16" x14ac:dyDescent="0.25">
      <c r="D29" s="244" t="s">
        <v>149</v>
      </c>
      <c r="E29" s="244"/>
      <c r="F29" s="55">
        <f>F26*((F28*2)+F27)</f>
        <v>14.375200000000001</v>
      </c>
      <c r="G29" s="56"/>
      <c r="N29" s="56"/>
    </row>
    <row r="31" spans="4:16" x14ac:dyDescent="0.25">
      <c r="D31" s="244" t="s">
        <v>112</v>
      </c>
      <c r="E31" s="244"/>
      <c r="F31" s="244"/>
    </row>
    <row r="32" spans="4:16" x14ac:dyDescent="0.25">
      <c r="D32" s="244" t="s">
        <v>106</v>
      </c>
      <c r="E32" s="244"/>
      <c r="F32" s="42">
        <f>1.6+15.4+1.78+13+2+4+4.5</f>
        <v>42.28</v>
      </c>
    </row>
    <row r="33" spans="4:6" x14ac:dyDescent="0.25">
      <c r="D33" s="244" t="s">
        <v>113</v>
      </c>
      <c r="E33" s="244"/>
      <c r="F33" s="42">
        <f>0.14+0.1</f>
        <v>0.24000000000000002</v>
      </c>
    </row>
    <row r="34" spans="4:6" x14ac:dyDescent="0.25">
      <c r="D34" s="244" t="s">
        <v>114</v>
      </c>
      <c r="E34" s="244"/>
      <c r="F34" s="42">
        <v>0.3</v>
      </c>
    </row>
    <row r="35" spans="4:6" x14ac:dyDescent="0.25">
      <c r="D35" s="244" t="s">
        <v>115</v>
      </c>
      <c r="E35" s="244"/>
      <c r="F35" s="55">
        <f>F32*F33*F34</f>
        <v>3.0441600000000002</v>
      </c>
    </row>
  </sheetData>
  <mergeCells count="25">
    <mergeCell ref="D35:E35"/>
    <mergeCell ref="D34:E34"/>
    <mergeCell ref="D15:E15"/>
    <mergeCell ref="D16:E16"/>
    <mergeCell ref="D17:E17"/>
    <mergeCell ref="D18:E18"/>
    <mergeCell ref="D19:E19"/>
    <mergeCell ref="D20:E20"/>
    <mergeCell ref="D21:E21"/>
    <mergeCell ref="D22:E22"/>
    <mergeCell ref="D31:F31"/>
    <mergeCell ref="D25:F25"/>
    <mergeCell ref="D26:E26"/>
    <mergeCell ref="D27:E27"/>
    <mergeCell ref="I14:J14"/>
    <mergeCell ref="D14:G14"/>
    <mergeCell ref="D7:E7"/>
    <mergeCell ref="D32:E32"/>
    <mergeCell ref="D33:E33"/>
    <mergeCell ref="D6:F6"/>
    <mergeCell ref="D8:E8"/>
    <mergeCell ref="D9:E9"/>
    <mergeCell ref="D10:E10"/>
    <mergeCell ref="D29:E29"/>
    <mergeCell ref="D28:E2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3"/>
  <sheetViews>
    <sheetView workbookViewId="0">
      <selection activeCell="D17" sqref="D17"/>
    </sheetView>
  </sheetViews>
  <sheetFormatPr defaultRowHeight="15" x14ac:dyDescent="0.25"/>
  <cols>
    <col min="2" max="2" width="34.28515625" bestFit="1" customWidth="1"/>
    <col min="3" max="3" width="5.85546875" customWidth="1"/>
    <col min="4" max="4" width="15" bestFit="1" customWidth="1"/>
  </cols>
  <sheetData>
    <row r="1" spans="2:4" x14ac:dyDescent="0.25">
      <c r="B1" s="210" t="s">
        <v>583</v>
      </c>
      <c r="C1" s="210"/>
      <c r="D1" s="210"/>
    </row>
    <row r="2" spans="2:4" x14ac:dyDescent="0.25">
      <c r="B2" s="1" t="s">
        <v>433</v>
      </c>
      <c r="C2" s="42" t="s">
        <v>564</v>
      </c>
      <c r="D2" s="1" t="s">
        <v>565</v>
      </c>
    </row>
    <row r="3" spans="2:4" x14ac:dyDescent="0.25">
      <c r="B3" s="1" t="s">
        <v>566</v>
      </c>
      <c r="C3" s="42" t="s">
        <v>576</v>
      </c>
      <c r="D3" s="113">
        <v>0.03</v>
      </c>
    </row>
    <row r="4" spans="2:4" x14ac:dyDescent="0.25">
      <c r="B4" s="1" t="s">
        <v>567</v>
      </c>
      <c r="C4" s="42" t="s">
        <v>577</v>
      </c>
      <c r="D4" s="113">
        <v>8.0000000000000002E-3</v>
      </c>
    </row>
    <row r="5" spans="2:4" x14ac:dyDescent="0.25">
      <c r="B5" s="1" t="s">
        <v>568</v>
      </c>
      <c r="C5" s="42" t="s">
        <v>579</v>
      </c>
      <c r="D5" s="113">
        <v>9.7000000000000003E-3</v>
      </c>
    </row>
    <row r="6" spans="2:4" x14ac:dyDescent="0.25">
      <c r="B6" s="1" t="s">
        <v>569</v>
      </c>
      <c r="C6" s="42" t="s">
        <v>578</v>
      </c>
      <c r="D6" s="113">
        <v>5.8999999999999999E-3</v>
      </c>
    </row>
    <row r="7" spans="2:4" x14ac:dyDescent="0.25">
      <c r="B7" s="1" t="s">
        <v>570</v>
      </c>
      <c r="C7" s="42" t="s">
        <v>580</v>
      </c>
      <c r="D7" s="113">
        <v>6.1600000000000002E-2</v>
      </c>
    </row>
    <row r="8" spans="2:4" x14ac:dyDescent="0.25">
      <c r="B8" s="1" t="s">
        <v>571</v>
      </c>
      <c r="C8" s="42" t="s">
        <v>581</v>
      </c>
      <c r="D8" s="113">
        <v>8.6499999999999994E-2</v>
      </c>
    </row>
    <row r="9" spans="2:4" x14ac:dyDescent="0.25">
      <c r="B9" s="1" t="s">
        <v>572</v>
      </c>
      <c r="C9" s="42"/>
      <c r="D9" s="113">
        <v>6.4999999999999997E-3</v>
      </c>
    </row>
    <row r="10" spans="2:4" x14ac:dyDescent="0.25">
      <c r="B10" s="1" t="s">
        <v>573</v>
      </c>
      <c r="C10" s="42"/>
      <c r="D10" s="113">
        <v>0.03</v>
      </c>
    </row>
    <row r="11" spans="2:4" x14ac:dyDescent="0.25">
      <c r="B11" s="1" t="s">
        <v>574</v>
      </c>
      <c r="C11" s="42"/>
      <c r="D11" s="113">
        <v>0.05</v>
      </c>
    </row>
    <row r="12" spans="2:4" x14ac:dyDescent="0.25">
      <c r="B12" s="1" t="s">
        <v>575</v>
      </c>
      <c r="C12" s="42"/>
      <c r="D12" s="113">
        <v>0</v>
      </c>
    </row>
    <row r="13" spans="2:4" x14ac:dyDescent="0.25">
      <c r="B13" s="210" t="s">
        <v>582</v>
      </c>
      <c r="C13" s="210"/>
      <c r="D13" s="114">
        <v>0.22469999999999998</v>
      </c>
    </row>
  </sheetData>
  <mergeCells count="2">
    <mergeCell ref="B13:C13"/>
    <mergeCell ref="B1:D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5"/>
  <sheetViews>
    <sheetView zoomScale="60" zoomScaleNormal="60" workbookViewId="0">
      <selection activeCell="H26" sqref="H26"/>
    </sheetView>
  </sheetViews>
  <sheetFormatPr defaultRowHeight="15" x14ac:dyDescent="0.25"/>
  <cols>
    <col min="1" max="1" width="14" customWidth="1"/>
    <col min="2" max="2" width="38.7109375" customWidth="1"/>
    <col min="3" max="3" width="20.140625" bestFit="1" customWidth="1"/>
    <col min="4" max="4" width="17" customWidth="1"/>
    <col min="5" max="5" width="16" bestFit="1" customWidth="1"/>
    <col min="6" max="7" width="17.140625" bestFit="1" customWidth="1"/>
    <col min="8" max="10" width="15.7109375" bestFit="1" customWidth="1"/>
    <col min="11" max="11" width="16" customWidth="1"/>
    <col min="12" max="12" width="16.7109375" customWidth="1"/>
    <col min="13" max="13" width="17.140625" customWidth="1"/>
    <col min="15" max="15" width="17.140625" bestFit="1" customWidth="1"/>
  </cols>
  <sheetData>
    <row r="1" spans="1:15" ht="14.45" customHeight="1" x14ac:dyDescent="0.25">
      <c r="A1" s="211"/>
      <c r="B1" s="214" t="s">
        <v>96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5" ht="14.45" customHeight="1" x14ac:dyDescent="0.25">
      <c r="A2" s="211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5" ht="14.45" customHeight="1" x14ac:dyDescent="0.25">
      <c r="A3" s="211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</row>
    <row r="4" spans="1:15" ht="14.45" customHeight="1" x14ac:dyDescent="0.25">
      <c r="A4" s="211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</row>
    <row r="5" spans="1:15" ht="14.45" customHeight="1" x14ac:dyDescent="0.25">
      <c r="A5" s="211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</row>
    <row r="6" spans="1:15" ht="30" x14ac:dyDescent="0.25">
      <c r="A6" s="133" t="s">
        <v>11</v>
      </c>
      <c r="B6" s="194" t="s">
        <v>557</v>
      </c>
      <c r="C6" s="194"/>
      <c r="D6" s="194"/>
      <c r="E6" s="194"/>
      <c r="F6" s="194"/>
      <c r="G6" s="194"/>
      <c r="H6" s="194"/>
      <c r="I6" s="194"/>
      <c r="J6" s="134" t="s">
        <v>10</v>
      </c>
      <c r="K6" s="135" t="s">
        <v>274</v>
      </c>
      <c r="L6" s="135" t="s">
        <v>559</v>
      </c>
      <c r="M6" s="136" t="s">
        <v>95</v>
      </c>
    </row>
    <row r="7" spans="1:15" ht="15.75" x14ac:dyDescent="0.25">
      <c r="A7" s="137" t="s">
        <v>13</v>
      </c>
      <c r="B7" s="215" t="s">
        <v>453</v>
      </c>
      <c r="C7" s="215"/>
      <c r="D7" s="215"/>
      <c r="E7" s="215"/>
      <c r="F7" s="215"/>
      <c r="G7" s="215"/>
      <c r="H7" s="215"/>
      <c r="I7" s="215"/>
      <c r="J7" s="134" t="s">
        <v>12</v>
      </c>
      <c r="K7" s="138">
        <v>45139</v>
      </c>
      <c r="L7" s="138">
        <v>45139</v>
      </c>
      <c r="M7" s="220">
        <v>45231</v>
      </c>
    </row>
    <row r="8" spans="1:15" ht="15.75" x14ac:dyDescent="0.25">
      <c r="A8" s="137" t="s">
        <v>14</v>
      </c>
      <c r="B8" s="215" t="s">
        <v>97</v>
      </c>
      <c r="C8" s="215"/>
      <c r="D8" s="215"/>
      <c r="E8" s="215"/>
      <c r="F8" s="215"/>
      <c r="G8" s="215"/>
      <c r="H8" s="215"/>
      <c r="I8" s="215"/>
      <c r="J8" s="134" t="s">
        <v>1</v>
      </c>
      <c r="K8" s="212">
        <v>0.22470000000000001</v>
      </c>
      <c r="L8" s="212"/>
      <c r="M8" s="220"/>
    </row>
    <row r="9" spans="1:15" x14ac:dyDescent="0.25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</row>
    <row r="10" spans="1:15" ht="15.75" x14ac:dyDescent="0.25">
      <c r="A10" s="213" t="s">
        <v>622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5" x14ac:dyDescent="0.25">
      <c r="A11" s="174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</row>
    <row r="12" spans="1:15" ht="15.75" x14ac:dyDescent="0.25">
      <c r="A12" s="1"/>
      <c r="B12" s="1"/>
      <c r="C12" s="112" t="s">
        <v>611</v>
      </c>
      <c r="D12" s="112" t="s">
        <v>612</v>
      </c>
      <c r="E12" s="112" t="s">
        <v>613</v>
      </c>
      <c r="F12" s="112" t="s">
        <v>614</v>
      </c>
      <c r="G12" s="112" t="s">
        <v>615</v>
      </c>
      <c r="H12" s="112" t="s">
        <v>616</v>
      </c>
      <c r="I12" s="112" t="s">
        <v>617</v>
      </c>
      <c r="J12" s="112" t="s">
        <v>618</v>
      </c>
      <c r="K12" s="112" t="s">
        <v>619</v>
      </c>
      <c r="L12" s="112" t="s">
        <v>620</v>
      </c>
      <c r="M12" s="216" t="s">
        <v>200</v>
      </c>
    </row>
    <row r="13" spans="1:15" ht="15.75" x14ac:dyDescent="0.25">
      <c r="A13" s="112" t="s">
        <v>98</v>
      </c>
      <c r="B13" s="112" t="s">
        <v>600</v>
      </c>
      <c r="C13" s="112" t="s">
        <v>601</v>
      </c>
      <c r="D13" s="112" t="s">
        <v>602</v>
      </c>
      <c r="E13" s="112" t="s">
        <v>603</v>
      </c>
      <c r="F13" s="112" t="s">
        <v>604</v>
      </c>
      <c r="G13" s="112" t="s">
        <v>605</v>
      </c>
      <c r="H13" s="112" t="s">
        <v>606</v>
      </c>
      <c r="I13" s="112" t="s">
        <v>607</v>
      </c>
      <c r="J13" s="112" t="s">
        <v>608</v>
      </c>
      <c r="K13" s="112" t="s">
        <v>609</v>
      </c>
      <c r="L13" s="112" t="s">
        <v>610</v>
      </c>
      <c r="M13" s="216"/>
    </row>
    <row r="14" spans="1:15" ht="15.75" x14ac:dyDescent="0.25">
      <c r="A14" s="216" t="s">
        <v>41</v>
      </c>
      <c r="B14" s="221" t="s">
        <v>85</v>
      </c>
      <c r="C14" s="77">
        <f>O14*C15</f>
        <v>10722.83</v>
      </c>
      <c r="D14" s="74"/>
      <c r="E14" s="74"/>
      <c r="F14" s="74"/>
      <c r="G14" s="74"/>
      <c r="H14" s="74"/>
      <c r="I14" s="74"/>
      <c r="J14" s="74"/>
      <c r="K14" s="74"/>
      <c r="L14" s="74"/>
      <c r="M14" s="129">
        <f>SUM(C14:L14)</f>
        <v>10722.83</v>
      </c>
      <c r="O14" s="132">
        <v>10722.83</v>
      </c>
    </row>
    <row r="15" spans="1:15" x14ac:dyDescent="0.25">
      <c r="A15" s="216"/>
      <c r="B15" s="221"/>
      <c r="C15" s="130">
        <v>1</v>
      </c>
      <c r="D15" s="74"/>
      <c r="E15" s="74"/>
      <c r="F15" s="74"/>
      <c r="G15" s="74"/>
      <c r="H15" s="74"/>
      <c r="I15" s="74"/>
      <c r="J15" s="74"/>
      <c r="K15" s="74"/>
      <c r="L15" s="74"/>
      <c r="M15" s="130">
        <v>1</v>
      </c>
    </row>
    <row r="16" spans="1:15" ht="15.75" x14ac:dyDescent="0.25">
      <c r="A16" s="216" t="s">
        <v>40</v>
      </c>
      <c r="B16" s="221" t="s">
        <v>181</v>
      </c>
      <c r="C16" s="77">
        <f>O16*C17</f>
        <v>39846.35</v>
      </c>
      <c r="D16" s="77"/>
      <c r="E16" s="77"/>
      <c r="F16" s="77"/>
      <c r="G16" s="77"/>
      <c r="H16" s="77"/>
      <c r="I16" s="77"/>
      <c r="J16" s="77"/>
      <c r="K16" s="77"/>
      <c r="L16" s="77"/>
      <c r="M16" s="129">
        <f t="shared" ref="M16:M42" si="0">SUM(C16:L16)</f>
        <v>39846.35</v>
      </c>
      <c r="O16" s="132">
        <v>39846.35</v>
      </c>
    </row>
    <row r="17" spans="1:15" x14ac:dyDescent="0.25">
      <c r="A17" s="216"/>
      <c r="B17" s="221"/>
      <c r="C17" s="130">
        <v>1</v>
      </c>
      <c r="D17" s="74"/>
      <c r="E17" s="74"/>
      <c r="F17" s="74"/>
      <c r="G17" s="74"/>
      <c r="H17" s="74"/>
      <c r="I17" s="74"/>
      <c r="J17" s="74"/>
      <c r="K17" s="74"/>
      <c r="L17" s="74"/>
      <c r="M17" s="130">
        <v>1</v>
      </c>
    </row>
    <row r="18" spans="1:15" ht="15.75" x14ac:dyDescent="0.25">
      <c r="A18" s="216" t="s">
        <v>39</v>
      </c>
      <c r="B18" s="221" t="s">
        <v>457</v>
      </c>
      <c r="C18" s="77"/>
      <c r="D18" s="77"/>
      <c r="E18" s="77"/>
      <c r="F18" s="77"/>
      <c r="G18" s="77"/>
      <c r="H18" s="77"/>
      <c r="I18" s="77"/>
      <c r="J18" s="77">
        <f>O18*J19</f>
        <v>16929.036</v>
      </c>
      <c r="K18" s="77">
        <f>K19*O18</f>
        <v>11286.024000000001</v>
      </c>
      <c r="L18" s="77"/>
      <c r="M18" s="129">
        <f t="shared" si="0"/>
        <v>28215.06</v>
      </c>
      <c r="O18" s="132">
        <v>28215.06</v>
      </c>
    </row>
    <row r="19" spans="1:15" x14ac:dyDescent="0.25">
      <c r="A19" s="216"/>
      <c r="B19" s="221"/>
      <c r="C19" s="74"/>
      <c r="D19" s="74"/>
      <c r="E19" s="74"/>
      <c r="F19" s="74"/>
      <c r="G19" s="74"/>
      <c r="H19" s="74"/>
      <c r="I19" s="74"/>
      <c r="J19" s="130">
        <v>0.6</v>
      </c>
      <c r="K19" s="130">
        <v>0.4</v>
      </c>
      <c r="L19" s="77"/>
      <c r="M19" s="130">
        <v>1</v>
      </c>
    </row>
    <row r="20" spans="1:15" ht="15.75" x14ac:dyDescent="0.25">
      <c r="A20" s="216" t="s">
        <v>45</v>
      </c>
      <c r="B20" s="221" t="s">
        <v>190</v>
      </c>
      <c r="C20" s="77">
        <f>O20*C21</f>
        <v>72875.32699999999</v>
      </c>
      <c r="D20" s="77">
        <f>O20*D21</f>
        <v>31232.282999999999</v>
      </c>
      <c r="E20" s="77"/>
      <c r="F20" s="77"/>
      <c r="G20" s="77"/>
      <c r="H20" s="77"/>
      <c r="I20" s="77"/>
      <c r="J20" s="77"/>
      <c r="K20" s="77"/>
      <c r="L20" s="77"/>
      <c r="M20" s="129">
        <f t="shared" si="0"/>
        <v>104107.60999999999</v>
      </c>
      <c r="O20" s="132">
        <v>104107.61</v>
      </c>
    </row>
    <row r="21" spans="1:15" x14ac:dyDescent="0.25">
      <c r="A21" s="216"/>
      <c r="B21" s="221"/>
      <c r="C21" s="130">
        <v>0.7</v>
      </c>
      <c r="D21" s="130">
        <v>0.3</v>
      </c>
      <c r="E21" s="74"/>
      <c r="F21" s="74"/>
      <c r="G21" s="74"/>
      <c r="H21" s="74"/>
      <c r="I21" s="74"/>
      <c r="J21" s="74"/>
      <c r="K21" s="74"/>
      <c r="L21" s="74"/>
      <c r="M21" s="130">
        <v>1</v>
      </c>
    </row>
    <row r="22" spans="1:15" ht="15.75" x14ac:dyDescent="0.25">
      <c r="A22" s="216" t="s">
        <v>46</v>
      </c>
      <c r="B22" s="221" t="s">
        <v>333</v>
      </c>
      <c r="C22" s="74"/>
      <c r="D22" s="74"/>
      <c r="E22" s="130"/>
      <c r="F22" s="77"/>
      <c r="G22" s="77">
        <f>O22*G23</f>
        <v>25934.664000000001</v>
      </c>
      <c r="H22" s="129">
        <f>H23*O22</f>
        <v>25934.664000000001</v>
      </c>
      <c r="I22" s="129">
        <f>O22*I23</f>
        <v>34579.552000000003</v>
      </c>
      <c r="J22" s="74"/>
      <c r="K22" s="74"/>
      <c r="L22" s="74"/>
      <c r="M22" s="129">
        <f t="shared" si="0"/>
        <v>86448.88</v>
      </c>
      <c r="O22" s="132">
        <v>86448.88</v>
      </c>
    </row>
    <row r="23" spans="1:15" x14ac:dyDescent="0.25">
      <c r="A23" s="216"/>
      <c r="B23" s="221"/>
      <c r="C23" s="74"/>
      <c r="D23" s="74"/>
      <c r="E23" s="74"/>
      <c r="F23" s="130"/>
      <c r="G23" s="130">
        <v>0.3</v>
      </c>
      <c r="H23" s="130">
        <v>0.3</v>
      </c>
      <c r="I23" s="130">
        <v>0.4</v>
      </c>
      <c r="J23" s="74"/>
      <c r="K23" s="74"/>
      <c r="L23" s="74"/>
      <c r="M23" s="130">
        <v>1</v>
      </c>
    </row>
    <row r="24" spans="1:15" ht="15.75" x14ac:dyDescent="0.25">
      <c r="A24" s="216" t="s">
        <v>188</v>
      </c>
      <c r="B24" s="221" t="s">
        <v>84</v>
      </c>
      <c r="C24" s="74"/>
      <c r="D24" s="74"/>
      <c r="E24" s="74"/>
      <c r="F24" s="77">
        <f>O24*F25</f>
        <v>11469.246000000001</v>
      </c>
      <c r="G24" s="77">
        <f>O24*G25</f>
        <v>22938.492000000002</v>
      </c>
      <c r="H24" s="129">
        <f>H25*O24</f>
        <v>22938.492000000002</v>
      </c>
      <c r="I24" s="74"/>
      <c r="J24" s="74"/>
      <c r="K24" s="74"/>
      <c r="L24" s="74"/>
      <c r="M24" s="129">
        <f t="shared" si="0"/>
        <v>57346.23000000001</v>
      </c>
      <c r="O24" s="132">
        <v>57346.23</v>
      </c>
    </row>
    <row r="25" spans="1:15" x14ac:dyDescent="0.25">
      <c r="A25" s="216"/>
      <c r="B25" s="221"/>
      <c r="C25" s="74"/>
      <c r="D25" s="74"/>
      <c r="E25" s="74"/>
      <c r="F25" s="130">
        <v>0.2</v>
      </c>
      <c r="G25" s="130">
        <v>0.4</v>
      </c>
      <c r="H25" s="130">
        <v>0.4</v>
      </c>
      <c r="I25" s="130"/>
      <c r="J25" s="74"/>
      <c r="K25" s="74"/>
      <c r="L25" s="74"/>
      <c r="M25" s="130">
        <v>1</v>
      </c>
    </row>
    <row r="26" spans="1:15" ht="15.75" x14ac:dyDescent="0.25">
      <c r="A26" s="216" t="s">
        <v>49</v>
      </c>
      <c r="B26" s="221" t="s">
        <v>27</v>
      </c>
      <c r="C26" s="74"/>
      <c r="D26" s="129">
        <f>D27*O26</f>
        <v>26878.857</v>
      </c>
      <c r="E26" s="77">
        <f>O26*E27</f>
        <v>62717.332999999999</v>
      </c>
      <c r="F26" s="77">
        <f>O26*F27</f>
        <v>62717.332999999999</v>
      </c>
      <c r="G26" s="129"/>
      <c r="H26" s="74"/>
      <c r="I26" s="129">
        <f>O26*I27</f>
        <v>21503.085599999999</v>
      </c>
      <c r="J26" s="74"/>
      <c r="K26" s="129">
        <f>O26*K27</f>
        <v>5375.7713999999996</v>
      </c>
      <c r="L26" s="74"/>
      <c r="M26" s="129">
        <f t="shared" si="0"/>
        <v>179192.37999999998</v>
      </c>
      <c r="O26" s="132">
        <v>179192.38</v>
      </c>
    </row>
    <row r="27" spans="1:15" x14ac:dyDescent="0.25">
      <c r="A27" s="216"/>
      <c r="B27" s="221"/>
      <c r="C27" s="74"/>
      <c r="D27" s="130">
        <v>0.15</v>
      </c>
      <c r="E27" s="130">
        <v>0.35</v>
      </c>
      <c r="F27" s="130">
        <v>0.35</v>
      </c>
      <c r="G27" s="130"/>
      <c r="H27" s="74"/>
      <c r="I27" s="130">
        <v>0.12</v>
      </c>
      <c r="J27" s="74"/>
      <c r="K27" s="130">
        <v>0.03</v>
      </c>
      <c r="L27" s="74"/>
      <c r="M27" s="130">
        <v>1</v>
      </c>
    </row>
    <row r="28" spans="1:15" ht="15.75" x14ac:dyDescent="0.25">
      <c r="A28" s="216" t="s">
        <v>50</v>
      </c>
      <c r="B28" s="221" t="s">
        <v>28</v>
      </c>
      <c r="C28" s="74"/>
      <c r="D28" s="74"/>
      <c r="E28" s="74"/>
      <c r="F28" s="74"/>
      <c r="G28" s="74"/>
      <c r="H28" s="74"/>
      <c r="I28" s="74"/>
      <c r="J28" s="129">
        <f>O28*J29</f>
        <v>12944.19</v>
      </c>
      <c r="K28" s="77">
        <f>K29*O28</f>
        <v>12944.19</v>
      </c>
      <c r="L28" s="129"/>
      <c r="M28" s="129">
        <f t="shared" si="0"/>
        <v>25888.38</v>
      </c>
      <c r="O28" s="132">
        <v>25888.38</v>
      </c>
    </row>
    <row r="29" spans="1:15" x14ac:dyDescent="0.25">
      <c r="A29" s="216"/>
      <c r="B29" s="221"/>
      <c r="C29" s="74"/>
      <c r="D29" s="74"/>
      <c r="E29" s="74"/>
      <c r="F29" s="74"/>
      <c r="G29" s="74"/>
      <c r="H29" s="74"/>
      <c r="I29" s="74"/>
      <c r="J29" s="130">
        <v>0.5</v>
      </c>
      <c r="K29" s="130">
        <v>0.5</v>
      </c>
      <c r="L29" s="130"/>
      <c r="M29" s="130">
        <v>1</v>
      </c>
    </row>
    <row r="30" spans="1:15" ht="15.75" x14ac:dyDescent="0.25">
      <c r="A30" s="216" t="s">
        <v>215</v>
      </c>
      <c r="B30" s="221" t="s">
        <v>140</v>
      </c>
      <c r="C30" s="129">
        <f>O30*C31</f>
        <v>11932.233</v>
      </c>
      <c r="D30" s="77">
        <f>O30*D31</f>
        <v>7954.8220000000001</v>
      </c>
      <c r="E30" s="130"/>
      <c r="F30" s="130"/>
      <c r="G30" s="129">
        <f>O30*G31</f>
        <v>15909.644</v>
      </c>
      <c r="H30" s="74"/>
      <c r="I30" s="74"/>
      <c r="J30" s="130"/>
      <c r="K30" s="74"/>
      <c r="L30" s="129">
        <f>O30*L31</f>
        <v>3977.4110000000001</v>
      </c>
      <c r="M30" s="129">
        <f t="shared" si="0"/>
        <v>39774.11</v>
      </c>
      <c r="O30" s="132">
        <v>39774.11</v>
      </c>
    </row>
    <row r="31" spans="1:15" x14ac:dyDescent="0.25">
      <c r="A31" s="216"/>
      <c r="B31" s="221"/>
      <c r="C31" s="130">
        <v>0.3</v>
      </c>
      <c r="D31" s="130">
        <v>0.2</v>
      </c>
      <c r="E31" s="74"/>
      <c r="F31" s="74"/>
      <c r="G31" s="130">
        <v>0.4</v>
      </c>
      <c r="H31" s="74"/>
      <c r="I31" s="74"/>
      <c r="J31" s="74"/>
      <c r="K31" s="74"/>
      <c r="L31" s="130">
        <v>0.1</v>
      </c>
      <c r="M31" s="130">
        <v>1</v>
      </c>
    </row>
    <row r="32" spans="1:15" ht="15.75" x14ac:dyDescent="0.25">
      <c r="A32" s="216" t="s">
        <v>89</v>
      </c>
      <c r="B32" s="221" t="s">
        <v>141</v>
      </c>
      <c r="C32" s="129">
        <f>O32*C33</f>
        <v>9712.1579999999994</v>
      </c>
      <c r="D32" s="77">
        <f>O32*D33</f>
        <v>6474.7720000000008</v>
      </c>
      <c r="E32" s="130"/>
      <c r="F32" s="130"/>
      <c r="G32" s="129">
        <f>O32*G33</f>
        <v>12949.544000000002</v>
      </c>
      <c r="H32" s="74"/>
      <c r="I32" s="74"/>
      <c r="J32" s="130"/>
      <c r="K32" s="74"/>
      <c r="L32" s="129">
        <f>O32*L33</f>
        <v>3237.3860000000004</v>
      </c>
      <c r="M32" s="129">
        <f t="shared" si="0"/>
        <v>32373.86</v>
      </c>
      <c r="O32" s="132">
        <v>32373.86</v>
      </c>
    </row>
    <row r="33" spans="1:15" x14ac:dyDescent="0.25">
      <c r="A33" s="216"/>
      <c r="B33" s="221"/>
      <c r="C33" s="130">
        <v>0.3</v>
      </c>
      <c r="D33" s="130">
        <v>0.2</v>
      </c>
      <c r="E33" s="74"/>
      <c r="F33" s="74"/>
      <c r="G33" s="130">
        <v>0.4</v>
      </c>
      <c r="H33" s="74"/>
      <c r="I33" s="74"/>
      <c r="J33" s="74"/>
      <c r="K33" s="74"/>
      <c r="L33" s="130">
        <v>0.1</v>
      </c>
      <c r="M33" s="130">
        <v>1</v>
      </c>
    </row>
    <row r="34" spans="1:15" ht="15.75" x14ac:dyDescent="0.25">
      <c r="A34" s="216" t="s">
        <v>216</v>
      </c>
      <c r="B34" s="221" t="s">
        <v>555</v>
      </c>
      <c r="C34" s="74"/>
      <c r="D34" s="74"/>
      <c r="E34" s="74"/>
      <c r="F34" s="74"/>
      <c r="G34" s="74"/>
      <c r="H34" s="74"/>
      <c r="I34" s="74"/>
      <c r="J34" s="129">
        <f>O34*J35</f>
        <v>9868.4549999999999</v>
      </c>
      <c r="K34" s="129">
        <f>O34*K35</f>
        <v>9868.4549999999999</v>
      </c>
      <c r="L34" s="74"/>
      <c r="M34" s="129">
        <f t="shared" si="0"/>
        <v>19736.91</v>
      </c>
      <c r="O34" s="132">
        <v>19736.91</v>
      </c>
    </row>
    <row r="35" spans="1:15" x14ac:dyDescent="0.25">
      <c r="A35" s="216"/>
      <c r="B35" s="221"/>
      <c r="C35" s="74"/>
      <c r="D35" s="74"/>
      <c r="E35" s="74"/>
      <c r="F35" s="74"/>
      <c r="G35" s="74"/>
      <c r="H35" s="77"/>
      <c r="I35" s="77"/>
      <c r="J35" s="130">
        <v>0.5</v>
      </c>
      <c r="K35" s="130">
        <v>0.5</v>
      </c>
      <c r="L35" s="74"/>
      <c r="M35" s="130">
        <v>1</v>
      </c>
    </row>
    <row r="36" spans="1:15" ht="15.75" x14ac:dyDescent="0.25">
      <c r="A36" s="216" t="s">
        <v>217</v>
      </c>
      <c r="B36" s="221" t="s">
        <v>270</v>
      </c>
      <c r="C36" s="74"/>
      <c r="D36" s="74"/>
      <c r="E36" s="74"/>
      <c r="F36" s="74"/>
      <c r="G36" s="74"/>
      <c r="H36" s="77">
        <f>O36*H37</f>
        <v>26136.59</v>
      </c>
      <c r="I36" s="77">
        <f>O36*I37</f>
        <v>26136.59</v>
      </c>
      <c r="J36" s="74"/>
      <c r="K36" s="74"/>
      <c r="L36" s="74"/>
      <c r="M36" s="129">
        <f t="shared" si="0"/>
        <v>52273.18</v>
      </c>
      <c r="O36" s="132">
        <v>52273.18</v>
      </c>
    </row>
    <row r="37" spans="1:15" x14ac:dyDescent="0.25">
      <c r="A37" s="216"/>
      <c r="B37" s="221"/>
      <c r="C37" s="74"/>
      <c r="D37" s="74"/>
      <c r="E37" s="74"/>
      <c r="F37" s="130"/>
      <c r="G37" s="130"/>
      <c r="H37" s="130">
        <v>0.5</v>
      </c>
      <c r="I37" s="130">
        <v>0.5</v>
      </c>
      <c r="J37" s="74"/>
      <c r="K37" s="74"/>
      <c r="L37" s="74"/>
      <c r="M37" s="130">
        <v>1</v>
      </c>
    </row>
    <row r="38" spans="1:15" ht="15.75" x14ac:dyDescent="0.25">
      <c r="A38" s="216" t="s">
        <v>242</v>
      </c>
      <c r="B38" s="221" t="s">
        <v>29</v>
      </c>
      <c r="C38" s="74"/>
      <c r="D38" s="74"/>
      <c r="E38" s="74"/>
      <c r="F38" s="74"/>
      <c r="G38" s="74"/>
      <c r="H38" s="74"/>
      <c r="I38" s="1"/>
      <c r="J38" s="129">
        <f>J39*O38</f>
        <v>22936.23</v>
      </c>
      <c r="K38" s="129">
        <f>K39*O38</f>
        <v>22936.23</v>
      </c>
      <c r="L38" s="1"/>
      <c r="M38" s="129">
        <f>SUM(C38:K38)</f>
        <v>45872.46</v>
      </c>
      <c r="O38" s="132">
        <v>45872.46</v>
      </c>
    </row>
    <row r="39" spans="1:15" x14ac:dyDescent="0.25">
      <c r="A39" s="216"/>
      <c r="B39" s="221"/>
      <c r="C39" s="74"/>
      <c r="D39" s="74"/>
      <c r="E39" s="74"/>
      <c r="F39" s="130"/>
      <c r="G39" s="130"/>
      <c r="H39" s="74"/>
      <c r="I39" s="1"/>
      <c r="J39" s="130">
        <v>0.5</v>
      </c>
      <c r="K39" s="130">
        <v>0.5</v>
      </c>
      <c r="L39" s="1"/>
      <c r="M39" s="130">
        <v>1</v>
      </c>
    </row>
    <row r="40" spans="1:15" ht="15.75" x14ac:dyDescent="0.25">
      <c r="A40" s="216" t="s">
        <v>269</v>
      </c>
      <c r="B40" s="221" t="s">
        <v>563</v>
      </c>
      <c r="C40" s="74"/>
      <c r="D40" s="74"/>
      <c r="E40" s="74"/>
      <c r="F40" s="74"/>
      <c r="G40" s="74"/>
      <c r="H40" s="74"/>
      <c r="I40" s="74"/>
      <c r="J40" s="74"/>
      <c r="K40" s="74"/>
      <c r="L40" s="77">
        <f>L41*O40</f>
        <v>16094.58</v>
      </c>
      <c r="M40" s="129">
        <f t="shared" si="0"/>
        <v>16094.58</v>
      </c>
      <c r="O40" s="132">
        <v>16094.58</v>
      </c>
    </row>
    <row r="41" spans="1:15" x14ac:dyDescent="0.25">
      <c r="A41" s="216"/>
      <c r="B41" s="221"/>
      <c r="C41" s="74"/>
      <c r="D41" s="74"/>
      <c r="E41" s="74"/>
      <c r="F41" s="74"/>
      <c r="G41" s="74"/>
      <c r="H41" s="74"/>
      <c r="I41" s="130"/>
      <c r="J41" s="130"/>
      <c r="K41" s="74"/>
      <c r="L41" s="130">
        <v>1</v>
      </c>
      <c r="M41" s="130">
        <v>1</v>
      </c>
    </row>
    <row r="42" spans="1:15" ht="15.75" x14ac:dyDescent="0.25">
      <c r="A42" s="216" t="s">
        <v>275</v>
      </c>
      <c r="B42" s="221" t="s">
        <v>556</v>
      </c>
      <c r="C42" s="74"/>
      <c r="D42" s="74"/>
      <c r="E42" s="74"/>
      <c r="F42" s="74"/>
      <c r="G42" s="74"/>
      <c r="H42" s="74"/>
      <c r="I42" s="74"/>
      <c r="J42" s="74"/>
      <c r="K42" s="74"/>
      <c r="L42" s="77">
        <f>O42*L43</f>
        <v>3683.52</v>
      </c>
      <c r="M42" s="129">
        <f t="shared" si="0"/>
        <v>3683.52</v>
      </c>
      <c r="O42" s="132">
        <v>3683.52</v>
      </c>
    </row>
    <row r="43" spans="1:15" x14ac:dyDescent="0.25">
      <c r="A43" s="216"/>
      <c r="B43" s="221"/>
      <c r="C43" s="74"/>
      <c r="D43" s="74"/>
      <c r="E43" s="74"/>
      <c r="F43" s="74"/>
      <c r="G43" s="74"/>
      <c r="H43" s="74"/>
      <c r="I43" s="74"/>
      <c r="J43" s="74"/>
      <c r="K43" s="74"/>
      <c r="L43" s="130">
        <v>1</v>
      </c>
      <c r="M43" s="130">
        <v>1</v>
      </c>
    </row>
    <row r="44" spans="1:15" ht="15.75" x14ac:dyDescent="0.25">
      <c r="A44" s="219" t="s">
        <v>621</v>
      </c>
      <c r="B44" s="219"/>
      <c r="C44" s="131">
        <f>C32+C30+C20+C16+C14</f>
        <v>145088.89799999999</v>
      </c>
      <c r="D44" s="131">
        <f>D32+D30+D26+D20</f>
        <v>72540.733999999997</v>
      </c>
      <c r="E44" s="131">
        <f>E26</f>
        <v>62717.332999999999</v>
      </c>
      <c r="F44" s="131">
        <f t="shared" ref="F44" si="1">F14+F16+F18+F20+F22+F24+F26+F28+F30+F32+F34+F36+F38+F40+F42</f>
        <v>74186.578999999998</v>
      </c>
      <c r="G44" s="131">
        <f>G32+G30+G24+G22</f>
        <v>77732.344000000012</v>
      </c>
      <c r="H44" s="131">
        <f>H36+H24+H22</f>
        <v>75009.745999999999</v>
      </c>
      <c r="I44" s="131">
        <f>I36+I26+I22</f>
        <v>82219.227600000013</v>
      </c>
      <c r="J44" s="131">
        <f>J38+J34+J28+J18</f>
        <v>62677.911</v>
      </c>
      <c r="K44" s="131">
        <f>K38+K34+K28+K26+K18</f>
        <v>62410.670400000003</v>
      </c>
      <c r="L44" s="131">
        <f>L42+L40+L32+L30</f>
        <v>26992.896999999997</v>
      </c>
      <c r="M44" s="131">
        <f>M42+M40+M38+M36+M34+M32+M30+M28+M26+M24+M22+M20+M18+M16+M14</f>
        <v>741576.34</v>
      </c>
    </row>
    <row r="45" spans="1:15" ht="20.25" x14ac:dyDescent="0.3">
      <c r="A45" s="218" t="s">
        <v>105</v>
      </c>
      <c r="B45" s="218"/>
      <c r="C45" s="217">
        <f>L44+K44+J44+I44+H44+G44+F44+E44+D44+C44</f>
        <v>741576.34000000008</v>
      </c>
      <c r="D45" s="218"/>
      <c r="E45" s="218"/>
      <c r="F45" s="218"/>
      <c r="G45" s="218"/>
      <c r="H45" s="218"/>
      <c r="I45" s="218"/>
      <c r="J45" s="218"/>
      <c r="K45" s="218"/>
      <c r="L45" s="218"/>
      <c r="M45" s="128"/>
    </row>
    <row r="48" spans="1:15" ht="18" x14ac:dyDescent="0.25">
      <c r="A48" s="222" t="s">
        <v>623</v>
      </c>
      <c r="B48" s="222"/>
      <c r="C48" s="139">
        <v>288138.78000000003</v>
      </c>
    </row>
    <row r="49" spans="1:13" ht="18" x14ac:dyDescent="0.25">
      <c r="A49" s="222" t="s">
        <v>624</v>
      </c>
      <c r="B49" s="222"/>
      <c r="C49" s="140">
        <f>741576.34-C48</f>
        <v>453437.55999999994</v>
      </c>
    </row>
    <row r="50" spans="1:13" ht="18" x14ac:dyDescent="0.25">
      <c r="A50" s="222" t="s">
        <v>625</v>
      </c>
      <c r="B50" s="222"/>
      <c r="C50" s="140">
        <f>C48+C49</f>
        <v>741576.34</v>
      </c>
    </row>
    <row r="57" spans="1:13" x14ac:dyDescent="0.25">
      <c r="A57" s="223"/>
      <c r="B57" s="223"/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</row>
    <row r="58" spans="1:13" ht="15.75" x14ac:dyDescent="0.25">
      <c r="B58" s="2"/>
      <c r="E58" s="115"/>
    </row>
    <row r="59" spans="1:13" x14ac:dyDescent="0.25">
      <c r="B59" s="2"/>
    </row>
    <row r="60" spans="1:13" ht="18.75" x14ac:dyDescent="0.25">
      <c r="B60" s="119" t="s">
        <v>595</v>
      </c>
    </row>
    <row r="61" spans="1:13" ht="18" x14ac:dyDescent="0.25">
      <c r="B61" s="116" t="s">
        <v>592</v>
      </c>
    </row>
    <row r="62" spans="1:13" ht="18" x14ac:dyDescent="0.25">
      <c r="B62" s="116" t="s">
        <v>597</v>
      </c>
    </row>
    <row r="63" spans="1:13" ht="18" x14ac:dyDescent="0.25">
      <c r="B63" s="116" t="s">
        <v>598</v>
      </c>
    </row>
    <row r="64" spans="1:13" ht="18.75" x14ac:dyDescent="0.25">
      <c r="B64" s="117"/>
    </row>
    <row r="65" spans="2:2" ht="18.75" x14ac:dyDescent="0.25">
      <c r="B65" s="117"/>
    </row>
    <row r="66" spans="2:2" ht="18.75" x14ac:dyDescent="0.25">
      <c r="B66" s="117"/>
    </row>
    <row r="67" spans="2:2" ht="18.75" x14ac:dyDescent="0.25">
      <c r="B67" s="117"/>
    </row>
    <row r="68" spans="2:2" ht="18.75" x14ac:dyDescent="0.25">
      <c r="B68" s="117"/>
    </row>
    <row r="69" spans="2:2" ht="18" x14ac:dyDescent="0.25">
      <c r="B69" s="118" t="s">
        <v>593</v>
      </c>
    </row>
    <row r="70" spans="2:2" ht="18.75" x14ac:dyDescent="0.25">
      <c r="B70" s="117"/>
    </row>
    <row r="71" spans="2:2" ht="18.75" x14ac:dyDescent="0.25">
      <c r="B71" s="117"/>
    </row>
    <row r="72" spans="2:2" ht="18.75" x14ac:dyDescent="0.25">
      <c r="B72" s="117"/>
    </row>
    <row r="73" spans="2:2" ht="18.75" x14ac:dyDescent="0.25">
      <c r="B73" s="119" t="s">
        <v>595</v>
      </c>
    </row>
    <row r="74" spans="2:2" ht="18" x14ac:dyDescent="0.25">
      <c r="B74" s="120" t="s">
        <v>596</v>
      </c>
    </row>
    <row r="75" spans="2:2" ht="18" x14ac:dyDescent="0.25">
      <c r="B75" s="120" t="s">
        <v>594</v>
      </c>
    </row>
  </sheetData>
  <mergeCells count="48">
    <mergeCell ref="A32:A33"/>
    <mergeCell ref="A48:B48"/>
    <mergeCell ref="A49:B49"/>
    <mergeCell ref="A50:B50"/>
    <mergeCell ref="A57:M57"/>
    <mergeCell ref="A42:A43"/>
    <mergeCell ref="A40:A41"/>
    <mergeCell ref="A38:A39"/>
    <mergeCell ref="A36:A37"/>
    <mergeCell ref="A34:A35"/>
    <mergeCell ref="A30:A31"/>
    <mergeCell ref="A28:A29"/>
    <mergeCell ref="A14:A15"/>
    <mergeCell ref="A16:A17"/>
    <mergeCell ref="A18:A19"/>
    <mergeCell ref="A20:A21"/>
    <mergeCell ref="A22:A23"/>
    <mergeCell ref="A24:A25"/>
    <mergeCell ref="A26:A27"/>
    <mergeCell ref="B16:B17"/>
    <mergeCell ref="B18:B19"/>
    <mergeCell ref="B20:B21"/>
    <mergeCell ref="B22:B23"/>
    <mergeCell ref="B24:B25"/>
    <mergeCell ref="M12:M13"/>
    <mergeCell ref="C45:L45"/>
    <mergeCell ref="A44:B44"/>
    <mergeCell ref="A45:B45"/>
    <mergeCell ref="A1:A5"/>
    <mergeCell ref="M7:M8"/>
    <mergeCell ref="B26:B27"/>
    <mergeCell ref="B28:B29"/>
    <mergeCell ref="B42:B43"/>
    <mergeCell ref="B40:B41"/>
    <mergeCell ref="B38:B39"/>
    <mergeCell ref="B36:B37"/>
    <mergeCell ref="B34:B35"/>
    <mergeCell ref="B32:B33"/>
    <mergeCell ref="B30:B31"/>
    <mergeCell ref="B14:B15"/>
    <mergeCell ref="A9:M9"/>
    <mergeCell ref="K8:L8"/>
    <mergeCell ref="A10:M10"/>
    <mergeCell ref="A11:M11"/>
    <mergeCell ref="B1:M5"/>
    <mergeCell ref="B6:I6"/>
    <mergeCell ref="B7:I7"/>
    <mergeCell ref="B8:I8"/>
  </mergeCells>
  <conditionalFormatting sqref="A6:B6 J6 K6:K8 A8">
    <cfRule type="cellIs" dxfId="11" priority="6" operator="equal">
      <formula>"""informar dados"""</formula>
    </cfRule>
  </conditionalFormatting>
  <conditionalFormatting sqref="B14 B16 B18 B20 B22 B24 B26 B28">
    <cfRule type="cellIs" dxfId="10" priority="22" operator="equal">
      <formula>"""informar dados"""</formula>
    </cfRule>
  </conditionalFormatting>
  <conditionalFormatting sqref="B30">
    <cfRule type="cellIs" dxfId="9" priority="14" operator="equal">
      <formula>"""informar dados"""</formula>
    </cfRule>
  </conditionalFormatting>
  <conditionalFormatting sqref="B32">
    <cfRule type="cellIs" dxfId="8" priority="13" operator="equal">
      <formula>"""informar dados"""</formula>
    </cfRule>
  </conditionalFormatting>
  <conditionalFormatting sqref="B34">
    <cfRule type="cellIs" dxfId="7" priority="12" operator="equal">
      <formula>"""informar dados"""</formula>
    </cfRule>
  </conditionalFormatting>
  <conditionalFormatting sqref="B36">
    <cfRule type="cellIs" dxfId="6" priority="11" operator="equal">
      <formula>"""informar dados"""</formula>
    </cfRule>
  </conditionalFormatting>
  <conditionalFormatting sqref="B38">
    <cfRule type="cellIs" dxfId="5" priority="10" operator="equal">
      <formula>"""informar dados"""</formula>
    </cfRule>
  </conditionalFormatting>
  <conditionalFormatting sqref="B40">
    <cfRule type="cellIs" dxfId="4" priority="9" operator="equal">
      <formula>"""informar dados"""</formula>
    </cfRule>
  </conditionalFormatting>
  <conditionalFormatting sqref="B42">
    <cfRule type="cellIs" dxfId="3" priority="8" operator="equal">
      <formula>"""informar dados"""</formula>
    </cfRule>
  </conditionalFormatting>
  <conditionalFormatting sqref="B60:B75">
    <cfRule type="cellIs" dxfId="2" priority="1" operator="equal">
      <formula>"""informar dados"""</formula>
    </cfRule>
  </conditionalFormatting>
  <conditionalFormatting sqref="L6:L7">
    <cfRule type="cellIs" dxfId="1" priority="4" operator="equal">
      <formula>"""informar dados"""</formula>
    </cfRule>
  </conditionalFormatting>
  <conditionalFormatting sqref="M6 A10:A11">
    <cfRule type="cellIs" dxfId="0" priority="7" operator="equal">
      <formula>"""informar dados"""</formula>
    </cfRule>
  </conditionalFormatting>
  <printOptions horizontalCentered="1"/>
  <pageMargins left="0" right="0" top="0" bottom="0" header="0" footer="0"/>
  <pageSetup paperSize="9" scale="6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6"/>
  <sheetViews>
    <sheetView workbookViewId="0">
      <selection activeCell="B9" sqref="B9"/>
    </sheetView>
  </sheetViews>
  <sheetFormatPr defaultRowHeight="15" x14ac:dyDescent="0.25"/>
  <cols>
    <col min="2" max="2" width="30.140625" bestFit="1" customWidth="1"/>
    <col min="3" max="3" width="12.28515625" bestFit="1" customWidth="1"/>
    <col min="4" max="4" width="13.140625" bestFit="1" customWidth="1"/>
    <col min="5" max="5" width="11.140625" bestFit="1" customWidth="1"/>
    <col min="6" max="6" width="24.7109375" bestFit="1" customWidth="1"/>
    <col min="7" max="7" width="17.28515625" bestFit="1" customWidth="1"/>
    <col min="9" max="9" width="43.5703125" bestFit="1" customWidth="1"/>
    <col min="10" max="10" width="12.28515625" bestFit="1" customWidth="1"/>
    <col min="11" max="11" width="17.7109375" bestFit="1" customWidth="1"/>
    <col min="12" max="12" width="18.42578125" bestFit="1" customWidth="1"/>
  </cols>
  <sheetData>
    <row r="2" spans="2:12" x14ac:dyDescent="0.25">
      <c r="B2" s="225" t="s">
        <v>482</v>
      </c>
      <c r="C2" s="225"/>
      <c r="D2" s="225"/>
      <c r="E2" s="225"/>
      <c r="F2" s="225"/>
      <c r="G2" s="225"/>
      <c r="I2" s="225" t="s">
        <v>458</v>
      </c>
      <c r="J2" s="225"/>
      <c r="K2" s="225"/>
      <c r="L2" s="225"/>
    </row>
    <row r="3" spans="2:12" x14ac:dyDescent="0.25">
      <c r="B3" s="84" t="s">
        <v>481</v>
      </c>
      <c r="C3" s="84" t="s">
        <v>106</v>
      </c>
      <c r="D3" s="84" t="s">
        <v>144</v>
      </c>
      <c r="E3" s="85" t="s">
        <v>479</v>
      </c>
      <c r="F3" s="85" t="s">
        <v>478</v>
      </c>
      <c r="G3" s="85" t="s">
        <v>480</v>
      </c>
      <c r="I3" s="84" t="s">
        <v>481</v>
      </c>
      <c r="J3" s="84" t="s">
        <v>106</v>
      </c>
      <c r="K3" s="84" t="s">
        <v>485</v>
      </c>
      <c r="L3" s="85" t="s">
        <v>486</v>
      </c>
    </row>
    <row r="4" spans="2:12" x14ac:dyDescent="0.25">
      <c r="B4" s="73" t="s">
        <v>233</v>
      </c>
      <c r="C4" s="86">
        <v>29.46</v>
      </c>
      <c r="D4" s="86">
        <v>1.2</v>
      </c>
      <c r="E4" s="86">
        <f>C4*D4</f>
        <v>35.351999999999997</v>
      </c>
      <c r="F4" s="86">
        <f>(0.9*2.1*2)+(2.03*1.2)</f>
        <v>6.2159999999999993</v>
      </c>
      <c r="G4" s="86">
        <f>E4-F4</f>
        <v>29.135999999999996</v>
      </c>
      <c r="I4" s="73" t="s">
        <v>487</v>
      </c>
      <c r="J4" s="86">
        <v>14.53</v>
      </c>
      <c r="K4" s="86">
        <f>0.9</f>
        <v>0.9</v>
      </c>
      <c r="L4" s="86">
        <f>J4-K4</f>
        <v>13.629999999999999</v>
      </c>
    </row>
    <row r="5" spans="2:12" x14ac:dyDescent="0.25">
      <c r="B5" s="73" t="s">
        <v>474</v>
      </c>
      <c r="C5" s="86">
        <v>19</v>
      </c>
      <c r="D5" s="86">
        <v>3.5</v>
      </c>
      <c r="E5" s="86">
        <f t="shared" ref="E5:E9" si="0">C5*D5</f>
        <v>66.5</v>
      </c>
      <c r="F5" s="73">
        <f>(0.9*2.1*2)+(0.8*0.6)</f>
        <v>4.26</v>
      </c>
      <c r="G5" s="86">
        <f t="shared" ref="G5:G9" si="1">E5-F5</f>
        <v>62.24</v>
      </c>
      <c r="I5" s="73" t="s">
        <v>232</v>
      </c>
      <c r="J5" s="86">
        <v>19.260000000000002</v>
      </c>
      <c r="K5" s="86">
        <f>3+2.5+2.03+0.9</f>
        <v>8.43</v>
      </c>
      <c r="L5" s="86">
        <f t="shared" ref="L5:L9" si="2">J5-K5</f>
        <v>10.830000000000002</v>
      </c>
    </row>
    <row r="6" spans="2:12" x14ac:dyDescent="0.25">
      <c r="B6" s="73" t="s">
        <v>475</v>
      </c>
      <c r="C6" s="86">
        <v>17</v>
      </c>
      <c r="D6" s="86">
        <v>3.5</v>
      </c>
      <c r="E6" s="86">
        <f t="shared" si="0"/>
        <v>59.5</v>
      </c>
      <c r="F6" s="73">
        <f>F5</f>
        <v>4.26</v>
      </c>
      <c r="G6" s="86">
        <f t="shared" si="1"/>
        <v>55.24</v>
      </c>
      <c r="I6" s="73" t="s">
        <v>488</v>
      </c>
      <c r="J6" s="86">
        <v>28.33</v>
      </c>
      <c r="K6" s="86">
        <f>1.7+0.8+2.5</f>
        <v>5</v>
      </c>
      <c r="L6" s="86">
        <f t="shared" si="2"/>
        <v>23.33</v>
      </c>
    </row>
    <row r="7" spans="2:12" x14ac:dyDescent="0.25">
      <c r="B7" s="73" t="s">
        <v>229</v>
      </c>
      <c r="C7" s="86">
        <v>8.6999999999999993</v>
      </c>
      <c r="D7" s="86">
        <v>1.2</v>
      </c>
      <c r="E7" s="86">
        <f t="shared" si="0"/>
        <v>10.44</v>
      </c>
      <c r="F7" s="73">
        <f>(0.3*1.1)</f>
        <v>0.33</v>
      </c>
      <c r="G7" s="86">
        <f t="shared" si="1"/>
        <v>10.11</v>
      </c>
      <c r="I7" s="73" t="s">
        <v>489</v>
      </c>
      <c r="J7" s="86">
        <v>20.8</v>
      </c>
      <c r="K7" s="86">
        <f>(0.8*3)+1</f>
        <v>3.4000000000000004</v>
      </c>
      <c r="L7" s="86">
        <f t="shared" si="2"/>
        <v>17.399999999999999</v>
      </c>
    </row>
    <row r="8" spans="2:12" x14ac:dyDescent="0.25">
      <c r="B8" s="73" t="s">
        <v>476</v>
      </c>
      <c r="C8" s="86">
        <v>8</v>
      </c>
      <c r="D8" s="86">
        <v>3</v>
      </c>
      <c r="E8" s="86">
        <f t="shared" si="0"/>
        <v>24</v>
      </c>
      <c r="F8" s="73">
        <f>(0.8*2.1)+(0.6*0.6)</f>
        <v>2.04</v>
      </c>
      <c r="G8" s="86">
        <f t="shared" si="1"/>
        <v>21.96</v>
      </c>
      <c r="I8" s="73" t="s">
        <v>490</v>
      </c>
      <c r="J8" s="86">
        <v>11.4</v>
      </c>
      <c r="K8" s="86">
        <v>0.8</v>
      </c>
      <c r="L8" s="86">
        <f t="shared" si="2"/>
        <v>10.6</v>
      </c>
    </row>
    <row r="9" spans="2:12" x14ac:dyDescent="0.25">
      <c r="B9" s="73" t="s">
        <v>490</v>
      </c>
      <c r="C9" s="86">
        <v>1</v>
      </c>
      <c r="D9" s="86">
        <v>1.2</v>
      </c>
      <c r="E9" s="86">
        <f t="shared" si="0"/>
        <v>1.2</v>
      </c>
      <c r="F9" s="73">
        <v>0</v>
      </c>
      <c r="G9" s="86">
        <f t="shared" si="1"/>
        <v>1.2</v>
      </c>
      <c r="I9" s="73" t="s">
        <v>491</v>
      </c>
      <c r="J9" s="86">
        <v>12.7</v>
      </c>
      <c r="K9" s="86">
        <v>0.8</v>
      </c>
      <c r="L9" s="86">
        <f t="shared" si="2"/>
        <v>11.899999999999999</v>
      </c>
    </row>
    <row r="10" spans="2:12" x14ac:dyDescent="0.25">
      <c r="B10" s="73" t="s">
        <v>491</v>
      </c>
      <c r="C10" s="86">
        <v>1</v>
      </c>
      <c r="D10" s="86">
        <v>1.2</v>
      </c>
      <c r="E10" s="86">
        <f t="shared" ref="E10:E11" si="3">C10*D10</f>
        <v>1.2</v>
      </c>
      <c r="F10" s="73">
        <v>0</v>
      </c>
      <c r="G10" s="86">
        <f t="shared" ref="G10:G11" si="4">E10-F10</f>
        <v>1.2</v>
      </c>
      <c r="I10" s="224" t="s">
        <v>483</v>
      </c>
      <c r="J10" s="224"/>
      <c r="K10" s="224"/>
      <c r="L10" s="87">
        <f>SUM(L4:L9)</f>
        <v>87.69</v>
      </c>
    </row>
    <row r="11" spans="2:12" x14ac:dyDescent="0.25">
      <c r="B11" s="73" t="s">
        <v>477</v>
      </c>
      <c r="C11" s="86">
        <v>7.4</v>
      </c>
      <c r="D11" s="86">
        <v>3</v>
      </c>
      <c r="E11" s="86">
        <f t="shared" si="3"/>
        <v>22.200000000000003</v>
      </c>
      <c r="F11" s="73">
        <f>(2.1*0.8)+(0.6*0.6)</f>
        <v>2.04</v>
      </c>
      <c r="G11" s="86">
        <f t="shared" si="4"/>
        <v>20.160000000000004</v>
      </c>
      <c r="I11" s="88"/>
      <c r="J11" s="89"/>
      <c r="K11" s="89"/>
      <c r="L11" s="89"/>
    </row>
    <row r="12" spans="2:12" x14ac:dyDescent="0.25">
      <c r="B12" s="224" t="s">
        <v>484</v>
      </c>
      <c r="C12" s="224"/>
      <c r="D12" s="224"/>
      <c r="E12" s="224"/>
      <c r="F12" s="224"/>
      <c r="G12" s="87">
        <f>SUM(G4:G11)</f>
        <v>201.24599999999998</v>
      </c>
      <c r="I12" s="90"/>
      <c r="J12" s="90"/>
      <c r="K12" s="90"/>
      <c r="L12" s="90"/>
    </row>
    <row r="14" spans="2:12" x14ac:dyDescent="0.25">
      <c r="B14" s="225" t="s">
        <v>493</v>
      </c>
      <c r="C14" s="225"/>
      <c r="D14" s="225"/>
      <c r="E14" s="225"/>
      <c r="F14" s="225"/>
      <c r="G14" s="225"/>
    </row>
    <row r="15" spans="2:12" x14ac:dyDescent="0.25">
      <c r="B15" s="84" t="s">
        <v>492</v>
      </c>
      <c r="C15" s="84" t="s">
        <v>106</v>
      </c>
      <c r="D15" s="84" t="s">
        <v>144</v>
      </c>
      <c r="E15" s="85" t="s">
        <v>479</v>
      </c>
      <c r="F15" s="85" t="s">
        <v>478</v>
      </c>
      <c r="G15" s="85" t="s">
        <v>480</v>
      </c>
    </row>
    <row r="16" spans="2:12" x14ac:dyDescent="0.25">
      <c r="B16" s="73">
        <v>1</v>
      </c>
      <c r="C16" s="86">
        <v>8.4499999999999993</v>
      </c>
      <c r="D16" s="86">
        <v>3.5</v>
      </c>
      <c r="E16" s="86">
        <f>C16*D16</f>
        <v>29.574999999999996</v>
      </c>
      <c r="F16" s="86">
        <v>0</v>
      </c>
      <c r="G16" s="86">
        <f>E16-F16</f>
        <v>29.574999999999996</v>
      </c>
    </row>
    <row r="17" spans="2:7" x14ac:dyDescent="0.25">
      <c r="B17" s="73">
        <v>2</v>
      </c>
      <c r="C17" s="86">
        <v>3.4</v>
      </c>
      <c r="D17" s="86">
        <v>3</v>
      </c>
      <c r="E17" s="86">
        <f t="shared" ref="E17:E19" si="5">C17*D17</f>
        <v>10.199999999999999</v>
      </c>
      <c r="F17" s="73">
        <f>2.1*0.8</f>
        <v>1.6800000000000002</v>
      </c>
      <c r="G17" s="86">
        <f t="shared" ref="G17:G19" si="6">E17-F17</f>
        <v>8.52</v>
      </c>
    </row>
    <row r="18" spans="2:7" x14ac:dyDescent="0.25">
      <c r="B18" s="73">
        <v>3</v>
      </c>
      <c r="C18" s="86">
        <v>3.3</v>
      </c>
      <c r="D18" s="86">
        <v>3</v>
      </c>
      <c r="E18" s="86">
        <f t="shared" si="5"/>
        <v>9.8999999999999986</v>
      </c>
      <c r="F18" s="73">
        <f>2.1*0.8</f>
        <v>1.6800000000000002</v>
      </c>
      <c r="G18" s="86">
        <f t="shared" si="6"/>
        <v>8.2199999999999989</v>
      </c>
    </row>
    <row r="19" spans="2:7" x14ac:dyDescent="0.25">
      <c r="B19" s="73">
        <v>4</v>
      </c>
      <c r="C19" s="86">
        <v>2.5</v>
      </c>
      <c r="D19" s="86">
        <v>3</v>
      </c>
      <c r="E19" s="86">
        <f t="shared" si="5"/>
        <v>7.5</v>
      </c>
      <c r="F19" s="73">
        <v>0</v>
      </c>
      <c r="G19" s="86">
        <f t="shared" si="6"/>
        <v>7.5</v>
      </c>
    </row>
    <row r="20" spans="2:7" x14ac:dyDescent="0.25">
      <c r="B20" s="224" t="s">
        <v>484</v>
      </c>
      <c r="C20" s="224"/>
      <c r="D20" s="224"/>
      <c r="E20" s="224"/>
      <c r="F20" s="224"/>
      <c r="G20" s="87">
        <f>SUM(G16:G19)</f>
        <v>53.814999999999998</v>
      </c>
    </row>
    <row r="22" spans="2:7" x14ac:dyDescent="0.25">
      <c r="B22" s="225" t="s">
        <v>494</v>
      </c>
      <c r="C22" s="225"/>
      <c r="D22" s="225"/>
      <c r="E22" s="225"/>
      <c r="F22" s="225"/>
      <c r="G22" s="225"/>
    </row>
    <row r="23" spans="2:7" x14ac:dyDescent="0.25">
      <c r="B23" s="84" t="s">
        <v>492</v>
      </c>
      <c r="C23" s="84" t="s">
        <v>106</v>
      </c>
      <c r="D23" s="84" t="s">
        <v>144</v>
      </c>
      <c r="E23" s="85" t="s">
        <v>479</v>
      </c>
      <c r="F23" s="85" t="s">
        <v>478</v>
      </c>
      <c r="G23" s="85" t="s">
        <v>480</v>
      </c>
    </row>
    <row r="24" spans="2:7" x14ac:dyDescent="0.25">
      <c r="B24" s="73">
        <v>1</v>
      </c>
      <c r="C24" s="86">
        <v>2.2999999999999998</v>
      </c>
      <c r="D24" s="86">
        <v>3</v>
      </c>
      <c r="E24" s="86">
        <f>C24*D24</f>
        <v>6.8999999999999995</v>
      </c>
      <c r="F24" s="73">
        <v>0</v>
      </c>
      <c r="G24" s="86">
        <f>E24-F24</f>
        <v>6.8999999999999995</v>
      </c>
    </row>
    <row r="25" spans="2:7" x14ac:dyDescent="0.25">
      <c r="B25" s="73">
        <v>2</v>
      </c>
      <c r="C25" s="86">
        <v>1.5</v>
      </c>
      <c r="D25" s="86">
        <v>3</v>
      </c>
      <c r="E25" s="86">
        <f t="shared" ref="E25" si="7">C25*D25</f>
        <v>4.5</v>
      </c>
      <c r="F25" s="73">
        <f>2.1*0.8</f>
        <v>1.6800000000000002</v>
      </c>
      <c r="G25" s="86">
        <f t="shared" ref="G25" si="8">E25-F25</f>
        <v>2.82</v>
      </c>
    </row>
    <row r="26" spans="2:7" x14ac:dyDescent="0.25">
      <c r="B26" s="224" t="s">
        <v>484</v>
      </c>
      <c r="C26" s="224"/>
      <c r="D26" s="224"/>
      <c r="E26" s="224"/>
      <c r="F26" s="224"/>
      <c r="G26" s="87">
        <f>SUM(G24:G25)</f>
        <v>9.7199999999999989</v>
      </c>
    </row>
  </sheetData>
  <mergeCells count="8">
    <mergeCell ref="B26:F26"/>
    <mergeCell ref="B2:G2"/>
    <mergeCell ref="B12:F12"/>
    <mergeCell ref="I2:L2"/>
    <mergeCell ref="I10:K10"/>
    <mergeCell ref="B14:G14"/>
    <mergeCell ref="B20:F20"/>
    <mergeCell ref="B22:G2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89"/>
  <sheetViews>
    <sheetView topLeftCell="A9" zoomScale="80" zoomScaleNormal="80" workbookViewId="0">
      <selection activeCell="D50" sqref="D50"/>
    </sheetView>
  </sheetViews>
  <sheetFormatPr defaultRowHeight="15" x14ac:dyDescent="0.25"/>
  <cols>
    <col min="2" max="2" width="30.140625" bestFit="1" customWidth="1"/>
    <col min="3" max="3" width="12.28515625" bestFit="1" customWidth="1"/>
    <col min="4" max="4" width="13.140625" bestFit="1" customWidth="1"/>
    <col min="5" max="5" width="11.140625" bestFit="1" customWidth="1"/>
    <col min="6" max="6" width="24.7109375" bestFit="1" customWidth="1"/>
    <col min="7" max="7" width="17.28515625" bestFit="1" customWidth="1"/>
    <col min="8" max="8" width="9.85546875" bestFit="1" customWidth="1"/>
  </cols>
  <sheetData>
    <row r="2" spans="2:7" x14ac:dyDescent="0.25">
      <c r="B2" s="225" t="s">
        <v>501</v>
      </c>
      <c r="C2" s="225"/>
      <c r="D2" s="225"/>
      <c r="E2" s="225"/>
      <c r="F2" s="225"/>
      <c r="G2" s="225"/>
    </row>
    <row r="3" spans="2:7" x14ac:dyDescent="0.25">
      <c r="B3" s="84" t="s">
        <v>492</v>
      </c>
      <c r="C3" s="84" t="s">
        <v>106</v>
      </c>
      <c r="D3" s="84" t="s">
        <v>144</v>
      </c>
      <c r="E3" s="85" t="s">
        <v>479</v>
      </c>
      <c r="F3" s="85" t="s">
        <v>478</v>
      </c>
      <c r="G3" s="85" t="s">
        <v>480</v>
      </c>
    </row>
    <row r="4" spans="2:7" x14ac:dyDescent="0.25">
      <c r="B4" s="73" t="s">
        <v>502</v>
      </c>
      <c r="C4" s="86">
        <v>14.7</v>
      </c>
      <c r="D4" s="86">
        <f>5.5-0.7</f>
        <v>4.8</v>
      </c>
      <c r="E4" s="86">
        <f>C4*D4</f>
        <v>70.559999999999988</v>
      </c>
      <c r="F4" s="86">
        <f>0.6*1.2*3</f>
        <v>2.16</v>
      </c>
      <c r="G4" s="86">
        <f>E4-F4</f>
        <v>68.399999999999991</v>
      </c>
    </row>
    <row r="5" spans="2:7" x14ac:dyDescent="0.25">
      <c r="B5" s="73" t="s">
        <v>503</v>
      </c>
      <c r="C5" s="86">
        <f>14.9</f>
        <v>14.9</v>
      </c>
      <c r="D5" s="86">
        <v>5.5</v>
      </c>
      <c r="E5" s="86">
        <f>C5*D5</f>
        <v>81.95</v>
      </c>
      <c r="F5" s="86">
        <f>(0.8*0.6*2)+(3*2.1)+(3.8*5.5)</f>
        <v>28.16</v>
      </c>
      <c r="G5" s="86">
        <f>E5-F5</f>
        <v>53.790000000000006</v>
      </c>
    </row>
    <row r="6" spans="2:7" x14ac:dyDescent="0.25">
      <c r="B6" s="73" t="s">
        <v>504</v>
      </c>
      <c r="C6" s="86">
        <v>12.7</v>
      </c>
      <c r="D6" s="86">
        <v>5.5</v>
      </c>
      <c r="E6" s="86">
        <f>C6*D6</f>
        <v>69.849999999999994</v>
      </c>
      <c r="F6" s="86">
        <f>(0.6*0.6*2)+(1.2*0.6*2)+(2.4*5.5)</f>
        <v>15.36</v>
      </c>
      <c r="G6" s="86">
        <f>E6-F6</f>
        <v>54.489999999999995</v>
      </c>
    </row>
    <row r="7" spans="2:7" x14ac:dyDescent="0.25">
      <c r="B7" s="73" t="s">
        <v>505</v>
      </c>
      <c r="C7" s="86">
        <v>1.6</v>
      </c>
      <c r="D7" s="86">
        <v>5.5</v>
      </c>
      <c r="E7" s="86">
        <f>C7*D7</f>
        <v>8.8000000000000007</v>
      </c>
      <c r="F7" s="86">
        <v>3</v>
      </c>
      <c r="G7" s="86">
        <f>E7-F7</f>
        <v>5.8000000000000007</v>
      </c>
    </row>
    <row r="8" spans="2:7" x14ac:dyDescent="0.25">
      <c r="B8" s="73" t="s">
        <v>506</v>
      </c>
      <c r="C8" s="86">
        <f>41.4+42+9.9</f>
        <v>93.300000000000011</v>
      </c>
      <c r="D8" s="86">
        <v>0.5</v>
      </c>
      <c r="E8" s="86">
        <f>C8*D8</f>
        <v>46.650000000000006</v>
      </c>
      <c r="F8" s="86">
        <v>0</v>
      </c>
      <c r="G8" s="86">
        <f>E8-F8</f>
        <v>46.650000000000006</v>
      </c>
    </row>
    <row r="9" spans="2:7" x14ac:dyDescent="0.25">
      <c r="B9" s="224" t="s">
        <v>544</v>
      </c>
      <c r="C9" s="224"/>
      <c r="D9" s="224"/>
      <c r="E9" s="224"/>
      <c r="F9" s="224"/>
      <c r="G9" s="87">
        <f>SUM(G4:G8)</f>
        <v>229.13000000000002</v>
      </c>
    </row>
    <row r="11" spans="2:7" x14ac:dyDescent="0.25">
      <c r="B11" s="225" t="s">
        <v>522</v>
      </c>
      <c r="C11" s="225"/>
      <c r="D11" s="225"/>
      <c r="E11" s="225"/>
      <c r="F11" s="225"/>
      <c r="G11" s="225"/>
    </row>
    <row r="12" spans="2:7" x14ac:dyDescent="0.25">
      <c r="B12" s="84" t="s">
        <v>492</v>
      </c>
      <c r="C12" s="84" t="s">
        <v>106</v>
      </c>
      <c r="D12" s="84" t="s">
        <v>144</v>
      </c>
      <c r="E12" s="85" t="s">
        <v>479</v>
      </c>
      <c r="F12" s="85" t="s">
        <v>478</v>
      </c>
      <c r="G12" s="85" t="s">
        <v>480</v>
      </c>
    </row>
    <row r="13" spans="2:7" x14ac:dyDescent="0.25">
      <c r="B13" s="73" t="s">
        <v>523</v>
      </c>
      <c r="C13" s="86"/>
      <c r="D13" s="86"/>
      <c r="E13" s="86">
        <v>52.61</v>
      </c>
      <c r="F13" s="86"/>
      <c r="G13" s="86">
        <f>E13-F13</f>
        <v>52.61</v>
      </c>
    </row>
    <row r="14" spans="2:7" x14ac:dyDescent="0.25">
      <c r="B14" s="73" t="s">
        <v>524</v>
      </c>
      <c r="C14" s="86"/>
      <c r="D14" s="86"/>
      <c r="E14" s="86">
        <v>6</v>
      </c>
      <c r="F14" s="86"/>
      <c r="G14" s="86">
        <f t="shared" ref="G14:G33" si="0">E14-F14</f>
        <v>6</v>
      </c>
    </row>
    <row r="15" spans="2:7" x14ac:dyDescent="0.25">
      <c r="B15" s="73" t="s">
        <v>535</v>
      </c>
      <c r="C15" s="86"/>
      <c r="D15" s="86"/>
      <c r="E15" s="86">
        <v>5</v>
      </c>
      <c r="F15" s="86"/>
      <c r="G15" s="86">
        <f t="shared" si="0"/>
        <v>5</v>
      </c>
    </row>
    <row r="16" spans="2:7" x14ac:dyDescent="0.25">
      <c r="B16" s="73" t="s">
        <v>525</v>
      </c>
      <c r="C16" s="86"/>
      <c r="D16" s="86"/>
      <c r="E16" s="86">
        <v>4.5</v>
      </c>
      <c r="F16" s="86"/>
      <c r="G16" s="86">
        <f t="shared" si="0"/>
        <v>4.5</v>
      </c>
    </row>
    <row r="17" spans="2:7" x14ac:dyDescent="0.25">
      <c r="B17" s="73" t="s">
        <v>536</v>
      </c>
      <c r="C17" s="86"/>
      <c r="D17" s="86"/>
      <c r="E17" s="86">
        <v>3.75</v>
      </c>
      <c r="F17" s="86"/>
      <c r="G17" s="86">
        <f t="shared" si="0"/>
        <v>3.75</v>
      </c>
    </row>
    <row r="18" spans="2:7" x14ac:dyDescent="0.25">
      <c r="B18" s="73" t="s">
        <v>528</v>
      </c>
      <c r="C18" s="86"/>
      <c r="D18" s="86"/>
      <c r="E18" s="86">
        <v>10.43</v>
      </c>
      <c r="F18" s="86"/>
      <c r="G18" s="86">
        <f t="shared" si="0"/>
        <v>10.43</v>
      </c>
    </row>
    <row r="19" spans="2:7" x14ac:dyDescent="0.25">
      <c r="B19" s="73" t="s">
        <v>526</v>
      </c>
      <c r="C19" s="86"/>
      <c r="D19" s="86"/>
      <c r="E19" s="86">
        <v>16.45</v>
      </c>
      <c r="F19" s="86"/>
      <c r="G19" s="86">
        <f t="shared" si="0"/>
        <v>16.45</v>
      </c>
    </row>
    <row r="20" spans="2:7" x14ac:dyDescent="0.25">
      <c r="B20" s="73" t="s">
        <v>527</v>
      </c>
      <c r="C20" s="86"/>
      <c r="D20" s="86"/>
      <c r="E20" s="86">
        <v>51.24</v>
      </c>
      <c r="F20" s="86"/>
      <c r="G20" s="86">
        <f t="shared" si="0"/>
        <v>51.24</v>
      </c>
    </row>
    <row r="21" spans="2:7" x14ac:dyDescent="0.25">
      <c r="B21" s="73" t="s">
        <v>529</v>
      </c>
      <c r="C21" s="86"/>
      <c r="D21" s="86"/>
      <c r="E21" s="86">
        <v>4.51</v>
      </c>
      <c r="F21" s="86"/>
      <c r="G21" s="86">
        <f t="shared" si="0"/>
        <v>4.51</v>
      </c>
    </row>
    <row r="22" spans="2:7" x14ac:dyDescent="0.25">
      <c r="B22" s="73" t="s">
        <v>530</v>
      </c>
      <c r="C22" s="86"/>
      <c r="D22" s="86"/>
      <c r="E22" s="86">
        <v>3.75</v>
      </c>
      <c r="F22" s="86"/>
      <c r="G22" s="86">
        <f t="shared" si="0"/>
        <v>3.75</v>
      </c>
    </row>
    <row r="23" spans="2:7" x14ac:dyDescent="0.25">
      <c r="B23" s="73" t="s">
        <v>531</v>
      </c>
      <c r="C23" s="86"/>
      <c r="D23" s="86"/>
      <c r="E23" s="86">
        <v>10.029999999999999</v>
      </c>
      <c r="F23" s="86"/>
      <c r="G23" s="86">
        <f t="shared" si="0"/>
        <v>10.029999999999999</v>
      </c>
    </row>
    <row r="24" spans="2:7" x14ac:dyDescent="0.25">
      <c r="B24" s="73" t="s">
        <v>532</v>
      </c>
      <c r="C24" s="86"/>
      <c r="D24" s="86"/>
      <c r="E24" s="86">
        <v>7.92</v>
      </c>
      <c r="F24" s="86"/>
      <c r="G24" s="86">
        <f t="shared" si="0"/>
        <v>7.92</v>
      </c>
    </row>
    <row r="25" spans="2:7" x14ac:dyDescent="0.25">
      <c r="B25" s="73" t="s">
        <v>533</v>
      </c>
      <c r="C25" s="86"/>
      <c r="D25" s="86"/>
      <c r="E25" s="86">
        <v>11.62</v>
      </c>
      <c r="F25" s="86"/>
      <c r="G25" s="86">
        <f t="shared" si="0"/>
        <v>11.62</v>
      </c>
    </row>
    <row r="26" spans="2:7" x14ac:dyDescent="0.25">
      <c r="B26" s="73" t="s">
        <v>534</v>
      </c>
      <c r="C26" s="86"/>
      <c r="D26" s="86"/>
      <c r="E26" s="86">
        <v>3.3</v>
      </c>
      <c r="F26" s="86"/>
      <c r="G26" s="86">
        <f t="shared" si="0"/>
        <v>3.3</v>
      </c>
    </row>
    <row r="27" spans="2:7" x14ac:dyDescent="0.25">
      <c r="B27" s="73" t="s">
        <v>233</v>
      </c>
      <c r="C27" s="86">
        <v>29.76</v>
      </c>
      <c r="D27" s="86">
        <v>3.5</v>
      </c>
      <c r="E27" s="86">
        <f t="shared" ref="E27:E33" si="1">C27*D27</f>
        <v>104.16000000000001</v>
      </c>
      <c r="F27" s="86">
        <f>(1.2*0.6*3)+(2.03*2.1)+(0.9*2.1*2)</f>
        <v>10.202999999999999</v>
      </c>
      <c r="G27" s="86">
        <f t="shared" si="0"/>
        <v>93.957000000000008</v>
      </c>
    </row>
    <row r="28" spans="2:7" x14ac:dyDescent="0.25">
      <c r="B28" s="73" t="s">
        <v>487</v>
      </c>
      <c r="C28" s="86">
        <v>14.53</v>
      </c>
      <c r="D28" s="86">
        <v>3</v>
      </c>
      <c r="E28" s="86">
        <f t="shared" si="1"/>
        <v>43.589999999999996</v>
      </c>
      <c r="F28" s="86">
        <f>2.1*0.9</f>
        <v>1.8900000000000001</v>
      </c>
      <c r="G28" s="86">
        <f t="shared" si="0"/>
        <v>41.699999999999996</v>
      </c>
    </row>
    <row r="29" spans="2:7" x14ac:dyDescent="0.25">
      <c r="B29" s="73" t="s">
        <v>232</v>
      </c>
      <c r="C29" s="86">
        <v>18.96</v>
      </c>
      <c r="D29" s="86">
        <v>3</v>
      </c>
      <c r="E29" s="86">
        <f t="shared" si="1"/>
        <v>56.88</v>
      </c>
      <c r="F29" s="86">
        <f>(2.03*2.1)+(2.5*2.1)+(3*2.1)+(2.1*0.9)</f>
        <v>17.702999999999999</v>
      </c>
      <c r="G29" s="86">
        <f t="shared" si="0"/>
        <v>39.177000000000007</v>
      </c>
    </row>
    <row r="30" spans="2:7" x14ac:dyDescent="0.25">
      <c r="B30" s="73" t="s">
        <v>488</v>
      </c>
      <c r="C30" s="86">
        <v>28.33</v>
      </c>
      <c r="D30" s="86">
        <v>3.5</v>
      </c>
      <c r="E30" s="86">
        <f t="shared" si="1"/>
        <v>99.155000000000001</v>
      </c>
      <c r="F30" s="86">
        <f>(1.7*3)+(1.2*0.6*2)+(2.1*0.8)+(2.5*2.1)</f>
        <v>13.469999999999999</v>
      </c>
      <c r="G30" s="86">
        <f t="shared" si="0"/>
        <v>85.685000000000002</v>
      </c>
    </row>
    <row r="31" spans="2:7" x14ac:dyDescent="0.25">
      <c r="B31" s="73" t="s">
        <v>491</v>
      </c>
      <c r="C31" s="86">
        <v>12.7</v>
      </c>
      <c r="D31" s="86">
        <v>3</v>
      </c>
      <c r="E31" s="86">
        <f t="shared" si="1"/>
        <v>38.099999999999994</v>
      </c>
      <c r="F31" s="86">
        <f>2.1*0.8</f>
        <v>1.6800000000000002</v>
      </c>
      <c r="G31" s="86">
        <f t="shared" si="0"/>
        <v>36.419999999999995</v>
      </c>
    </row>
    <row r="32" spans="2:7" x14ac:dyDescent="0.25">
      <c r="B32" s="73" t="s">
        <v>490</v>
      </c>
      <c r="C32" s="86">
        <v>11.4</v>
      </c>
      <c r="D32" s="86">
        <v>3</v>
      </c>
      <c r="E32" s="86">
        <f t="shared" si="1"/>
        <v>34.200000000000003</v>
      </c>
      <c r="F32" s="86">
        <f>2.1*0.8</f>
        <v>1.6800000000000002</v>
      </c>
      <c r="G32" s="86">
        <f t="shared" si="0"/>
        <v>32.520000000000003</v>
      </c>
    </row>
    <row r="33" spans="2:7" x14ac:dyDescent="0.25">
      <c r="B33" s="73" t="s">
        <v>537</v>
      </c>
      <c r="C33" s="86">
        <v>20.8</v>
      </c>
      <c r="D33" s="86">
        <v>3</v>
      </c>
      <c r="E33" s="86">
        <f t="shared" si="1"/>
        <v>62.400000000000006</v>
      </c>
      <c r="F33" s="86">
        <f>(0.8*3*2.1)+(3*1)</f>
        <v>8.0400000000000009</v>
      </c>
      <c r="G33" s="86">
        <f t="shared" si="0"/>
        <v>54.360000000000007</v>
      </c>
    </row>
    <row r="34" spans="2:7" x14ac:dyDescent="0.25">
      <c r="B34" s="224" t="s">
        <v>545</v>
      </c>
      <c r="C34" s="224"/>
      <c r="D34" s="224"/>
      <c r="E34" s="224"/>
      <c r="F34" s="224"/>
      <c r="G34" s="87">
        <f>SUM(G13:G33)</f>
        <v>574.92900000000009</v>
      </c>
    </row>
    <row r="35" spans="2:7" x14ac:dyDescent="0.25">
      <c r="B35" s="105"/>
      <c r="C35" s="105"/>
      <c r="D35" s="105"/>
      <c r="E35" s="105"/>
      <c r="F35" s="105"/>
      <c r="G35" s="107"/>
    </row>
    <row r="37" spans="2:7" x14ac:dyDescent="0.25">
      <c r="B37" s="225" t="s">
        <v>507</v>
      </c>
      <c r="C37" s="225"/>
      <c r="D37" s="225"/>
      <c r="E37" s="225"/>
      <c r="F37" s="225"/>
      <c r="G37" s="225"/>
    </row>
    <row r="38" spans="2:7" x14ac:dyDescent="0.25">
      <c r="B38" s="84" t="s">
        <v>492</v>
      </c>
      <c r="C38" s="84" t="s">
        <v>106</v>
      </c>
      <c r="D38" s="84" t="s">
        <v>144</v>
      </c>
      <c r="E38" s="85" t="s">
        <v>479</v>
      </c>
      <c r="F38" s="85" t="s">
        <v>478</v>
      </c>
      <c r="G38" s="85" t="s">
        <v>480</v>
      </c>
    </row>
    <row r="39" spans="2:7" x14ac:dyDescent="0.25">
      <c r="B39" s="73" t="s">
        <v>502</v>
      </c>
      <c r="C39" s="86">
        <v>14.7</v>
      </c>
      <c r="D39" s="86">
        <f>5.5-0.7</f>
        <v>4.8</v>
      </c>
      <c r="E39" s="86">
        <f>C39*D39</f>
        <v>70.559999999999988</v>
      </c>
      <c r="F39" s="86">
        <f>0.6*1.2*3</f>
        <v>2.16</v>
      </c>
      <c r="G39" s="86">
        <f>E39-F39</f>
        <v>68.399999999999991</v>
      </c>
    </row>
    <row r="40" spans="2:7" x14ac:dyDescent="0.25">
      <c r="B40" s="73" t="s">
        <v>503</v>
      </c>
      <c r="C40" s="86">
        <f>14.9</f>
        <v>14.9</v>
      </c>
      <c r="D40" s="86">
        <v>5.5</v>
      </c>
      <c r="E40" s="86">
        <f>C40*D40</f>
        <v>81.95</v>
      </c>
      <c r="F40" s="86">
        <f>(0.8*0.6*2)+(3*2.1)</f>
        <v>7.2600000000000007</v>
      </c>
      <c r="G40" s="86">
        <f>E40-F40</f>
        <v>74.69</v>
      </c>
    </row>
    <row r="41" spans="2:7" x14ac:dyDescent="0.25">
      <c r="B41" s="73" t="s">
        <v>504</v>
      </c>
      <c r="C41" s="86">
        <v>12.7</v>
      </c>
      <c r="D41" s="86">
        <v>5.5</v>
      </c>
      <c r="E41" s="86">
        <f>C41*D41</f>
        <v>69.849999999999994</v>
      </c>
      <c r="F41" s="86">
        <f>(0.6*0.6*2)+(1.2*0.6*2)</f>
        <v>2.16</v>
      </c>
      <c r="G41" s="86">
        <f>E41-F41</f>
        <v>67.69</v>
      </c>
    </row>
    <row r="42" spans="2:7" x14ac:dyDescent="0.25">
      <c r="B42" s="73" t="s">
        <v>505</v>
      </c>
      <c r="C42" s="86">
        <v>1.6</v>
      </c>
      <c r="D42" s="86">
        <v>5.5</v>
      </c>
      <c r="E42" s="86">
        <f>C42*D42</f>
        <v>8.8000000000000007</v>
      </c>
      <c r="F42" s="86">
        <v>3</v>
      </c>
      <c r="G42" s="86">
        <f>E42-F42</f>
        <v>5.8000000000000007</v>
      </c>
    </row>
    <row r="43" spans="2:7" x14ac:dyDescent="0.25">
      <c r="B43" s="73" t="s">
        <v>506</v>
      </c>
      <c r="C43" s="86">
        <f>41.4+42+9.9</f>
        <v>93.300000000000011</v>
      </c>
      <c r="D43" s="86">
        <v>0.5</v>
      </c>
      <c r="E43" s="86">
        <f>C43*D43</f>
        <v>46.650000000000006</v>
      </c>
      <c r="F43" s="86">
        <v>0</v>
      </c>
      <c r="G43" s="86">
        <f>E43-F43</f>
        <v>46.650000000000006</v>
      </c>
    </row>
    <row r="44" spans="2:7" x14ac:dyDescent="0.25">
      <c r="B44" s="224" t="s">
        <v>509</v>
      </c>
      <c r="C44" s="224"/>
      <c r="D44" s="224"/>
      <c r="E44" s="224"/>
      <c r="F44" s="224"/>
      <c r="G44" s="87">
        <f>SUM(G39:G43)</f>
        <v>263.23</v>
      </c>
    </row>
    <row r="46" spans="2:7" x14ac:dyDescent="0.25">
      <c r="B46" s="225" t="s">
        <v>599</v>
      </c>
      <c r="C46" s="225"/>
      <c r="D46" s="225"/>
      <c r="E46" s="225"/>
      <c r="F46" s="225"/>
      <c r="G46" s="225"/>
    </row>
    <row r="47" spans="2:7" x14ac:dyDescent="0.25">
      <c r="B47" s="84" t="s">
        <v>492</v>
      </c>
      <c r="C47" s="84" t="s">
        <v>106</v>
      </c>
      <c r="D47" s="84" t="s">
        <v>144</v>
      </c>
      <c r="E47" s="85" t="s">
        <v>479</v>
      </c>
      <c r="F47" s="85" t="s">
        <v>478</v>
      </c>
      <c r="G47" s="85" t="s">
        <v>480</v>
      </c>
    </row>
    <row r="48" spans="2:7" x14ac:dyDescent="0.25">
      <c r="B48" s="102" t="s">
        <v>540</v>
      </c>
      <c r="C48" s="73">
        <f>11.3+3+6+2.95+3.3+2+1.5+3.4+1.45+6.3+2.5+1.5+1.7+4.95+3.65+2.2+1.5+2+7.86+4.3+3.4</f>
        <v>76.760000000000019</v>
      </c>
      <c r="D48" s="86">
        <v>5</v>
      </c>
      <c r="E48" s="86">
        <f>C48*D48</f>
        <v>383.80000000000007</v>
      </c>
      <c r="F48" s="86">
        <f>(1.2*0.6*5)+(0.8*0.6*2)+(3*2.1)+(0.6*0.6*2)+(3)</f>
        <v>14.58</v>
      </c>
      <c r="G48" s="86">
        <f>E48-F48</f>
        <v>369.22000000000008</v>
      </c>
    </row>
    <row r="49" spans="2:7" x14ac:dyDescent="0.25">
      <c r="B49" s="102" t="s">
        <v>541</v>
      </c>
      <c r="C49" s="86">
        <f>2.95+5.55+8.45+6.45+2.83+2.65+2.65+1.5+2.5+2.5+3.01+2.95+2.03+2.95+4.06+0.2+2.83+5.65+2.5+2.5+1.5+1.5+3+3+1.5+2+2+2.5+2+3+2.03</f>
        <v>90.740000000000009</v>
      </c>
      <c r="D49" s="86">
        <v>4.2</v>
      </c>
      <c r="E49" s="86">
        <f>C49*D49</f>
        <v>381.10800000000006</v>
      </c>
      <c r="F49" s="86">
        <f>(2.5*2*2.1)+(1.7*3.5)+(2*0.8*2.1)+(2.03*2*2.1)+(10*2.1*0.9)</f>
        <v>47.236000000000004</v>
      </c>
      <c r="G49" s="86">
        <f t="shared" ref="G49:G50" si="2">E49-F49</f>
        <v>333.87200000000007</v>
      </c>
    </row>
    <row r="50" spans="2:7" x14ac:dyDescent="0.25">
      <c r="B50" s="102" t="s">
        <v>542</v>
      </c>
      <c r="C50" s="86">
        <f>3.4+2.4+2.4+3.3+0.9+3.4+2.5+2.3+1.6+1.5+2.2</f>
        <v>25.900000000000002</v>
      </c>
      <c r="D50" s="86">
        <v>3.5</v>
      </c>
      <c r="E50" s="86">
        <f t="shared" ref="E50" si="3">C50*D50</f>
        <v>90.65</v>
      </c>
      <c r="F50" s="86">
        <f>6*0.8*2.1</f>
        <v>10.080000000000002</v>
      </c>
      <c r="G50" s="86">
        <f t="shared" si="2"/>
        <v>80.570000000000007</v>
      </c>
    </row>
    <row r="51" spans="2:7" x14ac:dyDescent="0.25">
      <c r="B51" s="224" t="s">
        <v>509</v>
      </c>
      <c r="C51" s="224"/>
      <c r="D51" s="224"/>
      <c r="E51" s="224"/>
      <c r="F51" s="224"/>
      <c r="G51" s="86">
        <f>SUM(G48:G50)</f>
        <v>783.66200000000015</v>
      </c>
    </row>
    <row r="52" spans="2:7" x14ac:dyDescent="0.25">
      <c r="B52" s="224" t="s">
        <v>543</v>
      </c>
      <c r="C52" s="224"/>
      <c r="D52" s="224"/>
      <c r="E52" s="224"/>
      <c r="F52" s="224"/>
      <c r="G52" s="86">
        <f>G51+G44</f>
        <v>1046.8920000000003</v>
      </c>
    </row>
    <row r="53" spans="2:7" x14ac:dyDescent="0.25">
      <c r="B53" s="105"/>
      <c r="C53" s="105"/>
      <c r="D53" s="105"/>
      <c r="E53" s="105"/>
      <c r="F53" s="105"/>
      <c r="G53" s="106"/>
    </row>
    <row r="55" spans="2:7" x14ac:dyDescent="0.25">
      <c r="B55" s="225" t="s">
        <v>508</v>
      </c>
      <c r="C55" s="225"/>
      <c r="D55" s="225"/>
      <c r="E55" s="225"/>
      <c r="F55" s="225"/>
      <c r="G55" s="225"/>
    </row>
    <row r="56" spans="2:7" x14ac:dyDescent="0.25">
      <c r="B56" s="84" t="s">
        <v>492</v>
      </c>
      <c r="C56" s="84" t="s">
        <v>106</v>
      </c>
      <c r="D56" s="84" t="s">
        <v>144</v>
      </c>
      <c r="E56" s="85" t="s">
        <v>479</v>
      </c>
      <c r="F56" s="85" t="s">
        <v>478</v>
      </c>
      <c r="G56" s="85" t="s">
        <v>480</v>
      </c>
    </row>
    <row r="57" spans="2:7" x14ac:dyDescent="0.25">
      <c r="B57" s="73" t="s">
        <v>502</v>
      </c>
      <c r="C57" s="86">
        <v>14.7</v>
      </c>
      <c r="D57" s="86">
        <f>5.5-0.7</f>
        <v>4.8</v>
      </c>
      <c r="E57" s="86">
        <f>C57*D57</f>
        <v>70.559999999999988</v>
      </c>
      <c r="F57" s="86">
        <f>0.6*1.2*3</f>
        <v>2.16</v>
      </c>
      <c r="G57" s="86">
        <f>E57-F57</f>
        <v>68.399999999999991</v>
      </c>
    </row>
    <row r="58" spans="2:7" x14ac:dyDescent="0.25">
      <c r="B58" s="73" t="s">
        <v>503</v>
      </c>
      <c r="C58" s="86">
        <f>14.9</f>
        <v>14.9</v>
      </c>
      <c r="D58" s="86">
        <v>5.5</v>
      </c>
      <c r="E58" s="86">
        <f>C58*D58</f>
        <v>81.95</v>
      </c>
      <c r="F58" s="86">
        <f>(0.8*0.6*2)+(3*2.1)+(3.8*5.5)</f>
        <v>28.16</v>
      </c>
      <c r="G58" s="86">
        <f>E58-F58</f>
        <v>53.790000000000006</v>
      </c>
    </row>
    <row r="59" spans="2:7" x14ac:dyDescent="0.25">
      <c r="B59" s="73" t="s">
        <v>504</v>
      </c>
      <c r="C59" s="86">
        <v>12.7</v>
      </c>
      <c r="D59" s="86">
        <v>5.5</v>
      </c>
      <c r="E59" s="86">
        <f>C59*D59</f>
        <v>69.849999999999994</v>
      </c>
      <c r="F59" s="86">
        <f>(0.6*0.6*2)+(1.2*0.6*2)+(2.4*5.5)</f>
        <v>15.36</v>
      </c>
      <c r="G59" s="86">
        <f>E59-F59</f>
        <v>54.489999999999995</v>
      </c>
    </row>
    <row r="60" spans="2:7" x14ac:dyDescent="0.25">
      <c r="B60" s="73" t="s">
        <v>505</v>
      </c>
      <c r="C60" s="86">
        <v>1.6</v>
      </c>
      <c r="D60" s="86">
        <v>5.5</v>
      </c>
      <c r="E60" s="86">
        <f>C60*D60</f>
        <v>8.8000000000000007</v>
      </c>
      <c r="F60" s="86">
        <v>3</v>
      </c>
      <c r="G60" s="86">
        <f>E60-F60</f>
        <v>5.8000000000000007</v>
      </c>
    </row>
    <row r="61" spans="2:7" x14ac:dyDescent="0.25">
      <c r="B61" s="73" t="s">
        <v>506</v>
      </c>
      <c r="C61" s="86">
        <f>41.4+42+9.9</f>
        <v>93.300000000000011</v>
      </c>
      <c r="D61" s="86">
        <v>0.5</v>
      </c>
      <c r="E61" s="86">
        <f>C61*D61</f>
        <v>46.650000000000006</v>
      </c>
      <c r="F61" s="86">
        <v>0</v>
      </c>
      <c r="G61" s="86">
        <f>E61-F61</f>
        <v>46.650000000000006</v>
      </c>
    </row>
    <row r="62" spans="2:7" x14ac:dyDescent="0.25">
      <c r="B62" s="224" t="s">
        <v>510</v>
      </c>
      <c r="C62" s="224"/>
      <c r="D62" s="224"/>
      <c r="E62" s="224"/>
      <c r="F62" s="224"/>
      <c r="G62" s="87">
        <f>SUM(G57:G61)</f>
        <v>229.13000000000002</v>
      </c>
    </row>
    <row r="63" spans="2:7" x14ac:dyDescent="0.25">
      <c r="B63" s="226"/>
      <c r="C63" s="226"/>
      <c r="D63" s="226"/>
      <c r="E63" s="226"/>
      <c r="F63" s="226"/>
      <c r="G63" s="226"/>
    </row>
    <row r="64" spans="2:7" x14ac:dyDescent="0.25">
      <c r="B64" s="225" t="s">
        <v>521</v>
      </c>
      <c r="C64" s="225"/>
      <c r="D64" s="225"/>
      <c r="E64" s="225"/>
      <c r="F64" s="225"/>
      <c r="G64" s="225"/>
    </row>
    <row r="65" spans="2:7" x14ac:dyDescent="0.25">
      <c r="B65" s="84" t="s">
        <v>492</v>
      </c>
      <c r="C65" s="84" t="s">
        <v>106</v>
      </c>
      <c r="D65" s="84" t="s">
        <v>144</v>
      </c>
      <c r="E65" s="85" t="s">
        <v>479</v>
      </c>
      <c r="F65" s="85" t="s">
        <v>478</v>
      </c>
      <c r="G65" s="85" t="s">
        <v>480</v>
      </c>
    </row>
    <row r="66" spans="2:7" x14ac:dyDescent="0.25">
      <c r="B66" s="73" t="s">
        <v>233</v>
      </c>
      <c r="C66" s="86">
        <v>29.76</v>
      </c>
      <c r="D66" s="86">
        <v>3.5</v>
      </c>
      <c r="E66" s="86">
        <f t="shared" ref="E66:E72" si="4">C66*D66</f>
        <v>104.16000000000001</v>
      </c>
      <c r="F66" s="86">
        <f>(1.2*0.6*3)+(2.03*2.1)+(0.9*2.1*2)</f>
        <v>10.202999999999999</v>
      </c>
      <c r="G66" s="86">
        <f t="shared" ref="G66:G72" si="5">E66-F66</f>
        <v>93.957000000000008</v>
      </c>
    </row>
    <row r="67" spans="2:7" x14ac:dyDescent="0.25">
      <c r="B67" s="73" t="s">
        <v>487</v>
      </c>
      <c r="C67" s="86">
        <v>14.53</v>
      </c>
      <c r="D67" s="86">
        <v>3</v>
      </c>
      <c r="E67" s="86">
        <f t="shared" si="4"/>
        <v>43.589999999999996</v>
      </c>
      <c r="F67" s="86">
        <f>2.1*0.9</f>
        <v>1.8900000000000001</v>
      </c>
      <c r="G67" s="86">
        <f t="shared" si="5"/>
        <v>41.699999999999996</v>
      </c>
    </row>
    <row r="68" spans="2:7" x14ac:dyDescent="0.25">
      <c r="B68" s="73" t="s">
        <v>232</v>
      </c>
      <c r="C68" s="86">
        <v>18.96</v>
      </c>
      <c r="D68" s="86">
        <v>3</v>
      </c>
      <c r="E68" s="86">
        <f t="shared" si="4"/>
        <v>56.88</v>
      </c>
      <c r="F68" s="86">
        <f>(2.03*2.1)+(2.5*2.1)+(3*2.1)+(2.1*0.9)</f>
        <v>17.702999999999999</v>
      </c>
      <c r="G68" s="86">
        <f t="shared" si="5"/>
        <v>39.177000000000007</v>
      </c>
    </row>
    <row r="69" spans="2:7" x14ac:dyDescent="0.25">
      <c r="B69" s="73" t="s">
        <v>488</v>
      </c>
      <c r="C69" s="86">
        <v>28.33</v>
      </c>
      <c r="D69" s="86">
        <v>3.5</v>
      </c>
      <c r="E69" s="86">
        <f t="shared" si="4"/>
        <v>99.155000000000001</v>
      </c>
      <c r="F69" s="86">
        <f>(1.7*3)+(1.2*0.6*2)+(2.1*0.8)+(2.5*2.1)</f>
        <v>13.469999999999999</v>
      </c>
      <c r="G69" s="86">
        <f t="shared" si="5"/>
        <v>85.685000000000002</v>
      </c>
    </row>
    <row r="70" spans="2:7" x14ac:dyDescent="0.25">
      <c r="B70" s="73" t="s">
        <v>491</v>
      </c>
      <c r="C70" s="86">
        <v>12.7</v>
      </c>
      <c r="D70" s="86">
        <v>3</v>
      </c>
      <c r="E70" s="86">
        <f t="shared" si="4"/>
        <v>38.099999999999994</v>
      </c>
      <c r="F70" s="86">
        <f>2.1*0.8</f>
        <v>1.6800000000000002</v>
      </c>
      <c r="G70" s="86">
        <f t="shared" si="5"/>
        <v>36.419999999999995</v>
      </c>
    </row>
    <row r="71" spans="2:7" x14ac:dyDescent="0.25">
      <c r="B71" s="73" t="s">
        <v>490</v>
      </c>
      <c r="C71" s="86">
        <v>11.4</v>
      </c>
      <c r="D71" s="86">
        <v>3</v>
      </c>
      <c r="E71" s="86">
        <f t="shared" si="4"/>
        <v>34.200000000000003</v>
      </c>
      <c r="F71" s="86">
        <f>2.1*0.8</f>
        <v>1.6800000000000002</v>
      </c>
      <c r="G71" s="86">
        <f t="shared" si="5"/>
        <v>32.520000000000003</v>
      </c>
    </row>
    <row r="72" spans="2:7" x14ac:dyDescent="0.25">
      <c r="B72" s="73" t="s">
        <v>537</v>
      </c>
      <c r="C72" s="86">
        <v>20.8</v>
      </c>
      <c r="D72" s="86">
        <v>3</v>
      </c>
      <c r="E72" s="86">
        <f t="shared" si="4"/>
        <v>62.400000000000006</v>
      </c>
      <c r="F72" s="86">
        <f>(0.8*3*2.1)+(3*1)</f>
        <v>8.0400000000000009</v>
      </c>
      <c r="G72" s="86">
        <f t="shared" si="5"/>
        <v>54.360000000000007</v>
      </c>
    </row>
    <row r="73" spans="2:7" x14ac:dyDescent="0.25">
      <c r="B73" s="224" t="s">
        <v>546</v>
      </c>
      <c r="C73" s="224"/>
      <c r="D73" s="224"/>
      <c r="E73" s="224"/>
      <c r="F73" s="224"/>
      <c r="G73" s="87">
        <f>SUM(G66:G72)</f>
        <v>383.81900000000002</v>
      </c>
    </row>
    <row r="74" spans="2:7" x14ac:dyDescent="0.25">
      <c r="B74" s="224" t="s">
        <v>543</v>
      </c>
      <c r="C74" s="224"/>
      <c r="D74" s="224"/>
      <c r="E74" s="224"/>
      <c r="F74" s="224"/>
      <c r="G74" s="86">
        <f>G73+G62</f>
        <v>612.94900000000007</v>
      </c>
    </row>
    <row r="75" spans="2:7" x14ac:dyDescent="0.25">
      <c r="B75" s="105"/>
      <c r="C75" s="105"/>
      <c r="D75" s="105"/>
      <c r="E75" s="105"/>
      <c r="F75" s="105"/>
      <c r="G75" s="106"/>
    </row>
    <row r="77" spans="2:7" x14ac:dyDescent="0.25">
      <c r="B77" s="225" t="s">
        <v>548</v>
      </c>
      <c r="C77" s="225"/>
      <c r="D77" s="225"/>
      <c r="E77" s="225"/>
      <c r="F77" s="225"/>
      <c r="G77" s="225"/>
    </row>
    <row r="78" spans="2:7" x14ac:dyDescent="0.25">
      <c r="B78" s="84" t="s">
        <v>492</v>
      </c>
      <c r="C78" s="84" t="s">
        <v>106</v>
      </c>
      <c r="D78" s="84" t="s">
        <v>144</v>
      </c>
      <c r="E78" s="85" t="s">
        <v>479</v>
      </c>
      <c r="F78" s="85" t="s">
        <v>478</v>
      </c>
      <c r="G78" s="85" t="s">
        <v>480</v>
      </c>
    </row>
    <row r="79" spans="2:7" x14ac:dyDescent="0.25">
      <c r="B79" s="102" t="s">
        <v>550</v>
      </c>
      <c r="C79" s="73">
        <v>16.5</v>
      </c>
      <c r="D79" s="86">
        <v>4.5</v>
      </c>
      <c r="E79" s="86">
        <f>C79*D79</f>
        <v>74.25</v>
      </c>
      <c r="F79" s="86"/>
      <c r="G79" s="86">
        <f>E79-F79</f>
        <v>74.25</v>
      </c>
    </row>
    <row r="80" spans="2:7" x14ac:dyDescent="0.25">
      <c r="B80" s="102" t="s">
        <v>551</v>
      </c>
      <c r="C80" s="86">
        <v>14.75</v>
      </c>
      <c r="D80" s="86">
        <v>0.7</v>
      </c>
      <c r="E80" s="86">
        <f>C80*D80</f>
        <v>10.324999999999999</v>
      </c>
      <c r="F80" s="86"/>
      <c r="G80" s="86">
        <f t="shared" ref="G80" si="6">E80-F80</f>
        <v>10.324999999999999</v>
      </c>
    </row>
    <row r="81" spans="2:7" x14ac:dyDescent="0.25">
      <c r="B81" s="224" t="s">
        <v>509</v>
      </c>
      <c r="C81" s="224"/>
      <c r="D81" s="224"/>
      <c r="E81" s="224"/>
      <c r="F81" s="224"/>
      <c r="G81" s="86">
        <f>SUM(G79:G80)</f>
        <v>84.575000000000003</v>
      </c>
    </row>
    <row r="83" spans="2:7" x14ac:dyDescent="0.25">
      <c r="B83" s="225" t="s">
        <v>549</v>
      </c>
      <c r="C83" s="225"/>
      <c r="D83" s="225"/>
      <c r="E83" s="225"/>
      <c r="F83" s="225"/>
      <c r="G83" s="225"/>
    </row>
    <row r="84" spans="2:7" x14ac:dyDescent="0.25">
      <c r="B84" s="84" t="s">
        <v>492</v>
      </c>
      <c r="C84" s="84" t="s">
        <v>106</v>
      </c>
      <c r="D84" s="84" t="s">
        <v>144</v>
      </c>
      <c r="E84" s="85" t="s">
        <v>479</v>
      </c>
      <c r="F84" s="85" t="s">
        <v>478</v>
      </c>
      <c r="G84" s="85" t="s">
        <v>480</v>
      </c>
    </row>
    <row r="85" spans="2:7" x14ac:dyDescent="0.25">
      <c r="B85" s="102" t="s">
        <v>553</v>
      </c>
      <c r="C85" s="73">
        <f>6.3+3.71+8.69+9.05+1.45+9.55+7.8</f>
        <v>46.55</v>
      </c>
      <c r="D85" s="86">
        <v>4.5</v>
      </c>
      <c r="E85" s="86">
        <f>C85*D85</f>
        <v>209.47499999999999</v>
      </c>
      <c r="F85" s="86">
        <f>(0.8*0.8*2)+(3*2.1)+(0.6*0.6*2)+(2.1*0.6*2)+3</f>
        <v>13.82</v>
      </c>
      <c r="G85" s="86">
        <f>E85-F85</f>
        <v>195.655</v>
      </c>
    </row>
    <row r="86" spans="2:7" x14ac:dyDescent="0.25">
      <c r="B86" s="102" t="s">
        <v>554</v>
      </c>
      <c r="C86" s="86">
        <v>14.75</v>
      </c>
      <c r="D86" s="86">
        <v>3.8</v>
      </c>
      <c r="E86" s="86">
        <f>C86*D86</f>
        <v>56.05</v>
      </c>
      <c r="F86" s="86">
        <f>3*1.2*0.6</f>
        <v>2.1599999999999997</v>
      </c>
      <c r="G86" s="86">
        <f t="shared" ref="G86:G87" si="7">E86-F86</f>
        <v>53.89</v>
      </c>
    </row>
    <row r="87" spans="2:7" x14ac:dyDescent="0.25">
      <c r="B87" s="102" t="s">
        <v>542</v>
      </c>
      <c r="C87" s="86">
        <f>2+1.5+4.06+2.95+2.03+2.95+6.51+2.5+2.5</f>
        <v>27</v>
      </c>
      <c r="D87" s="86">
        <v>3.5</v>
      </c>
      <c r="E87" s="86">
        <f t="shared" ref="E87" si="8">C87*D87</f>
        <v>94.5</v>
      </c>
      <c r="F87" s="86">
        <f>(1.7*3.5)+(0.8*2.1)+(2.1*2.03)+(2.1*2.5)+(5*0.9*2.1)</f>
        <v>26.593000000000004</v>
      </c>
      <c r="G87" s="86">
        <f t="shared" si="7"/>
        <v>67.906999999999996</v>
      </c>
    </row>
    <row r="88" spans="2:7" x14ac:dyDescent="0.25">
      <c r="B88" s="102" t="s">
        <v>552</v>
      </c>
      <c r="C88" s="86">
        <f>16.5+3.8+1.45+12.7+8.45+14.85+6+14.85</f>
        <v>78.600000000000009</v>
      </c>
      <c r="D88" s="86">
        <v>1</v>
      </c>
      <c r="E88" s="86">
        <f t="shared" ref="E88" si="9">C88*D88</f>
        <v>78.600000000000009</v>
      </c>
      <c r="F88" s="86">
        <v>0</v>
      </c>
      <c r="G88" s="86">
        <f t="shared" ref="G88" si="10">E88-F88</f>
        <v>78.600000000000009</v>
      </c>
    </row>
    <row r="89" spans="2:7" x14ac:dyDescent="0.25">
      <c r="B89" s="224" t="s">
        <v>509</v>
      </c>
      <c r="C89" s="224"/>
      <c r="D89" s="224"/>
      <c r="E89" s="224"/>
      <c r="F89" s="224"/>
      <c r="G89" s="86">
        <f>SUM(G85:G87)</f>
        <v>317.452</v>
      </c>
    </row>
  </sheetData>
  <mergeCells count="19">
    <mergeCell ref="B55:G55"/>
    <mergeCell ref="B11:G11"/>
    <mergeCell ref="B34:F34"/>
    <mergeCell ref="B2:G2"/>
    <mergeCell ref="B9:F9"/>
    <mergeCell ref="B37:G37"/>
    <mergeCell ref="B44:F44"/>
    <mergeCell ref="B46:G46"/>
    <mergeCell ref="B51:F51"/>
    <mergeCell ref="B52:F52"/>
    <mergeCell ref="B81:F81"/>
    <mergeCell ref="B83:G83"/>
    <mergeCell ref="B89:F89"/>
    <mergeCell ref="B62:F62"/>
    <mergeCell ref="B64:G64"/>
    <mergeCell ref="B73:F73"/>
    <mergeCell ref="B74:F74"/>
    <mergeCell ref="B63:G63"/>
    <mergeCell ref="B77:G7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workbookViewId="0">
      <selection activeCell="B17" sqref="B17"/>
    </sheetView>
  </sheetViews>
  <sheetFormatPr defaultRowHeight="15" x14ac:dyDescent="0.25"/>
  <cols>
    <col min="1" max="1" width="18.140625" bestFit="1" customWidth="1"/>
    <col min="2" max="2" width="73.42578125" bestFit="1" customWidth="1"/>
    <col min="3" max="3" width="10.5703125" bestFit="1" customWidth="1"/>
    <col min="4" max="4" width="16.42578125" bestFit="1" customWidth="1"/>
    <col min="5" max="5" width="12.140625" bestFit="1" customWidth="1"/>
    <col min="6" max="6" width="23.42578125" bestFit="1" customWidth="1"/>
    <col min="7" max="7" width="13.42578125" bestFit="1" customWidth="1"/>
  </cols>
  <sheetData>
    <row r="1" spans="1:7" ht="15.75" x14ac:dyDescent="0.25">
      <c r="A1" s="229" t="s">
        <v>449</v>
      </c>
      <c r="B1" s="230"/>
      <c r="C1" s="230"/>
      <c r="D1" s="230"/>
      <c r="E1" s="230"/>
      <c r="F1" s="230"/>
      <c r="G1" s="231"/>
    </row>
    <row r="2" spans="1:7" x14ac:dyDescent="0.25">
      <c r="A2" s="78" t="s">
        <v>432</v>
      </c>
      <c r="B2" s="74" t="s">
        <v>433</v>
      </c>
      <c r="C2" s="74" t="s">
        <v>101</v>
      </c>
      <c r="D2" s="74" t="s">
        <v>434</v>
      </c>
      <c r="E2" s="74" t="s">
        <v>435</v>
      </c>
      <c r="F2" s="74" t="s">
        <v>436</v>
      </c>
      <c r="G2" s="79" t="s">
        <v>200</v>
      </c>
    </row>
    <row r="3" spans="1:7" ht="15.75" x14ac:dyDescent="0.25">
      <c r="A3" s="80" t="s">
        <v>438</v>
      </c>
      <c r="B3" s="75" t="s">
        <v>439</v>
      </c>
      <c r="C3" s="74" t="s">
        <v>440</v>
      </c>
      <c r="D3" s="74"/>
      <c r="E3" s="74"/>
      <c r="F3" s="74"/>
      <c r="G3" s="79"/>
    </row>
    <row r="4" spans="1:7" ht="15.75" x14ac:dyDescent="0.25">
      <c r="A4" s="80" t="s">
        <v>441</v>
      </c>
      <c r="B4" s="75" t="s">
        <v>444</v>
      </c>
      <c r="C4" s="74" t="s">
        <v>445</v>
      </c>
      <c r="D4" s="76">
        <v>5.0000000000000001E-3</v>
      </c>
      <c r="E4" s="77">
        <v>8.92</v>
      </c>
      <c r="F4" s="74">
        <v>128.22999999999999</v>
      </c>
      <c r="G4" s="81">
        <f>(D4*E4)+(1.28*D4*E4)</f>
        <v>0.101688</v>
      </c>
    </row>
    <row r="5" spans="1:7" ht="15.75" x14ac:dyDescent="0.25">
      <c r="A5" s="80" t="s">
        <v>442</v>
      </c>
      <c r="B5" s="75" t="s">
        <v>447</v>
      </c>
      <c r="C5" s="74" t="s">
        <v>446</v>
      </c>
      <c r="D5" s="76">
        <v>1.2</v>
      </c>
      <c r="E5" s="77">
        <v>4.84</v>
      </c>
      <c r="F5" s="74" t="s">
        <v>192</v>
      </c>
      <c r="G5" s="81">
        <f t="shared" ref="G5:G6" si="0">D5*E5</f>
        <v>5.8079999999999998</v>
      </c>
    </row>
    <row r="6" spans="1:7" ht="15.75" x14ac:dyDescent="0.25">
      <c r="A6" s="80" t="s">
        <v>443</v>
      </c>
      <c r="B6" s="75" t="s">
        <v>448</v>
      </c>
      <c r="C6" s="74" t="s">
        <v>445</v>
      </c>
      <c r="D6" s="76">
        <v>5.0000000000000001E-3</v>
      </c>
      <c r="E6" s="77">
        <v>240.2</v>
      </c>
      <c r="F6" s="74" t="s">
        <v>192</v>
      </c>
      <c r="G6" s="81">
        <f t="shared" si="0"/>
        <v>1.2010000000000001</v>
      </c>
    </row>
    <row r="7" spans="1:7" ht="15.75" x14ac:dyDescent="0.25">
      <c r="A7" s="227" t="s">
        <v>437</v>
      </c>
      <c r="B7" s="228"/>
      <c r="C7" s="228"/>
      <c r="D7" s="228"/>
      <c r="E7" s="228"/>
      <c r="F7" s="228"/>
      <c r="G7" s="82">
        <f>SUM(G4:G6)</f>
        <v>7.1106879999999997</v>
      </c>
    </row>
    <row r="8" spans="1:7" x14ac:dyDescent="0.25">
      <c r="A8" s="237"/>
      <c r="B8" s="226"/>
      <c r="C8" s="226"/>
      <c r="D8" s="226"/>
      <c r="E8" s="226"/>
      <c r="F8" s="226"/>
      <c r="G8" s="238"/>
    </row>
    <row r="9" spans="1:7" ht="15.75" x14ac:dyDescent="0.25">
      <c r="A9" s="232" t="s">
        <v>450</v>
      </c>
      <c r="B9" s="233"/>
      <c r="C9" s="233"/>
      <c r="D9" s="233"/>
      <c r="E9" s="233"/>
      <c r="F9" s="233"/>
      <c r="G9" s="234"/>
    </row>
    <row r="10" spans="1:7" x14ac:dyDescent="0.25">
      <c r="A10" s="78" t="s">
        <v>432</v>
      </c>
      <c r="B10" s="74" t="s">
        <v>433</v>
      </c>
      <c r="C10" s="74" t="s">
        <v>101</v>
      </c>
      <c r="D10" s="74" t="s">
        <v>434</v>
      </c>
      <c r="E10" s="74" t="s">
        <v>435</v>
      </c>
      <c r="F10" s="74" t="s">
        <v>436</v>
      </c>
      <c r="G10" s="79" t="s">
        <v>200</v>
      </c>
    </row>
    <row r="11" spans="1:7" ht="15.75" x14ac:dyDescent="0.25">
      <c r="A11" s="80" t="s">
        <v>452</v>
      </c>
      <c r="B11" s="75" t="s">
        <v>451</v>
      </c>
      <c r="C11" s="74" t="s">
        <v>440</v>
      </c>
      <c r="D11" s="74"/>
      <c r="E11" s="74"/>
      <c r="F11" s="74"/>
      <c r="G11" s="79"/>
    </row>
    <row r="12" spans="1:7" ht="15.75" x14ac:dyDescent="0.25">
      <c r="A12" s="80" t="s">
        <v>441</v>
      </c>
      <c r="B12" s="75" t="s">
        <v>444</v>
      </c>
      <c r="C12" s="74" t="s">
        <v>445</v>
      </c>
      <c r="D12" s="76">
        <v>0.04</v>
      </c>
      <c r="E12" s="77">
        <v>8.92</v>
      </c>
      <c r="F12" s="74">
        <v>128.22999999999999</v>
      </c>
      <c r="G12" s="81">
        <f>(D12*E12)+(1.28*D12*E12)</f>
        <v>0.813504</v>
      </c>
    </row>
    <row r="13" spans="1:7" ht="16.5" thickBot="1" x14ac:dyDescent="0.3">
      <c r="A13" s="235" t="s">
        <v>437</v>
      </c>
      <c r="B13" s="236"/>
      <c r="C13" s="236"/>
      <c r="D13" s="236"/>
      <c r="E13" s="236"/>
      <c r="F13" s="236"/>
      <c r="G13" s="83">
        <f>SUM(G12:G12)</f>
        <v>0.813504</v>
      </c>
    </row>
  </sheetData>
  <mergeCells count="5">
    <mergeCell ref="A7:F7"/>
    <mergeCell ref="A1:G1"/>
    <mergeCell ref="A9:G9"/>
    <mergeCell ref="A13:F13"/>
    <mergeCell ref="A8:G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9"/>
  <sheetViews>
    <sheetView zoomScale="110" zoomScaleNormal="110" workbookViewId="0">
      <selection activeCell="B9" sqref="B9"/>
    </sheetView>
  </sheetViews>
  <sheetFormatPr defaultRowHeight="15" x14ac:dyDescent="0.25"/>
  <cols>
    <col min="1" max="1" width="21.7109375" bestFit="1" customWidth="1"/>
    <col min="2" max="2" width="13.28515625" customWidth="1"/>
    <col min="3" max="3" width="5.28515625" customWidth="1"/>
    <col min="4" max="4" width="21.7109375" bestFit="1" customWidth="1"/>
    <col min="5" max="5" width="16.140625" customWidth="1"/>
    <col min="6" max="6" width="8.140625" customWidth="1"/>
    <col min="7" max="7" width="21.5703125" customWidth="1"/>
    <col min="8" max="8" width="15.140625" customWidth="1"/>
    <col min="9" max="9" width="5.7109375" customWidth="1"/>
    <col min="10" max="10" width="18.42578125" bestFit="1" customWidth="1"/>
    <col min="11" max="11" width="7.42578125" customWidth="1"/>
    <col min="12" max="12" width="5.7109375" customWidth="1"/>
    <col min="13" max="13" width="19.28515625" customWidth="1"/>
    <col min="18" max="18" width="9.85546875" customWidth="1"/>
  </cols>
  <sheetData>
    <row r="1" spans="1:18" ht="15.75" thickBot="1" x14ac:dyDescent="0.3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9"/>
    </row>
    <row r="2" spans="1:18" x14ac:dyDescent="0.25">
      <c r="A2" s="266" t="s">
        <v>218</v>
      </c>
      <c r="B2" s="265"/>
      <c r="C2" s="260"/>
      <c r="D2" s="264" t="s">
        <v>219</v>
      </c>
      <c r="E2" s="265"/>
      <c r="F2" s="260" t="s">
        <v>147</v>
      </c>
      <c r="G2" s="264" t="s">
        <v>112</v>
      </c>
      <c r="H2" s="265"/>
      <c r="I2" s="260"/>
      <c r="J2" s="264" t="s">
        <v>223</v>
      </c>
      <c r="K2" s="266"/>
      <c r="M2" s="264" t="s">
        <v>193</v>
      </c>
      <c r="N2" s="266"/>
    </row>
    <row r="3" spans="1:18" x14ac:dyDescent="0.25">
      <c r="A3" s="1" t="s">
        <v>106</v>
      </c>
      <c r="B3" s="20">
        <v>14.9</v>
      </c>
      <c r="C3" s="242"/>
      <c r="D3" s="21" t="s">
        <v>106</v>
      </c>
      <c r="E3" s="20">
        <f>B3</f>
        <v>14.9</v>
      </c>
      <c r="F3" s="242"/>
      <c r="G3" s="21" t="s">
        <v>106</v>
      </c>
      <c r="H3" s="20">
        <f>B3</f>
        <v>14.9</v>
      </c>
      <c r="I3" s="242"/>
      <c r="J3" s="21" t="s">
        <v>106</v>
      </c>
      <c r="K3" s="1">
        <f>B3</f>
        <v>14.9</v>
      </c>
      <c r="M3" s="21" t="s">
        <v>106</v>
      </c>
      <c r="N3" s="1">
        <f>E3</f>
        <v>14.9</v>
      </c>
    </row>
    <row r="4" spans="1:18" x14ac:dyDescent="0.25">
      <c r="A4" s="1" t="s">
        <v>107</v>
      </c>
      <c r="B4" s="20">
        <v>0.19</v>
      </c>
      <c r="C4" s="242"/>
      <c r="D4" s="21" t="s">
        <v>108</v>
      </c>
      <c r="E4" s="20">
        <v>0.3</v>
      </c>
      <c r="F4" s="242"/>
      <c r="G4" s="21" t="s">
        <v>113</v>
      </c>
      <c r="H4" s="20">
        <f>0.14+0.1</f>
        <v>0.24000000000000002</v>
      </c>
      <c r="I4" s="242"/>
      <c r="J4" s="21" t="s">
        <v>107</v>
      </c>
      <c r="K4" s="1">
        <v>0.19</v>
      </c>
      <c r="M4" s="21" t="s">
        <v>107</v>
      </c>
      <c r="N4" s="42" t="s">
        <v>192</v>
      </c>
    </row>
    <row r="5" spans="1:18" x14ac:dyDescent="0.25">
      <c r="A5" s="1" t="s">
        <v>108</v>
      </c>
      <c r="B5" s="20">
        <v>0.3</v>
      </c>
      <c r="C5" s="242"/>
      <c r="D5" s="21" t="s">
        <v>110</v>
      </c>
      <c r="E5" s="20">
        <v>2</v>
      </c>
      <c r="F5" s="242"/>
      <c r="G5" s="21" t="s">
        <v>114</v>
      </c>
      <c r="H5" s="20">
        <v>0.45</v>
      </c>
      <c r="I5" s="242"/>
      <c r="J5" s="21" t="s">
        <v>144</v>
      </c>
      <c r="K5" s="1">
        <f>0.05*2</f>
        <v>0.1</v>
      </c>
      <c r="M5" s="21" t="s">
        <v>144</v>
      </c>
      <c r="N5" s="44">
        <v>0.1</v>
      </c>
    </row>
    <row r="6" spans="1:18" x14ac:dyDescent="0.25">
      <c r="A6" s="1" t="s">
        <v>109</v>
      </c>
      <c r="B6" s="30">
        <f>B3*B4*B5</f>
        <v>0.84929999999999994</v>
      </c>
      <c r="C6" s="242"/>
      <c r="D6" s="21" t="s">
        <v>189</v>
      </c>
      <c r="E6" s="30">
        <f>E3*E4*E5</f>
        <v>8.94</v>
      </c>
      <c r="F6" s="242"/>
      <c r="G6" s="21" t="s">
        <v>115</v>
      </c>
      <c r="H6" s="30">
        <f>H3*H4*H5</f>
        <v>1.6092000000000002</v>
      </c>
      <c r="I6" s="242"/>
      <c r="J6" s="21" t="s">
        <v>149</v>
      </c>
      <c r="K6" s="26">
        <f>((K5*2)+K4)*K3</f>
        <v>5.8109999999999999</v>
      </c>
      <c r="M6" s="21" t="s">
        <v>149</v>
      </c>
      <c r="N6" s="26">
        <f>N3*N5</f>
        <v>1.4900000000000002</v>
      </c>
    </row>
    <row r="7" spans="1:18" x14ac:dyDescent="0.25">
      <c r="A7" s="1"/>
      <c r="B7" s="20"/>
      <c r="C7" s="242"/>
      <c r="D7" s="21"/>
      <c r="E7" s="20"/>
      <c r="F7" s="242"/>
      <c r="G7" s="21"/>
      <c r="H7" s="20"/>
      <c r="I7" s="242"/>
      <c r="J7" s="21"/>
      <c r="K7" s="1"/>
      <c r="M7" s="21"/>
      <c r="N7" s="1"/>
    </row>
    <row r="8" spans="1:18" x14ac:dyDescent="0.25">
      <c r="A8" s="244" t="s">
        <v>131</v>
      </c>
      <c r="B8" s="239"/>
      <c r="C8" s="242"/>
      <c r="D8" s="240" t="s">
        <v>220</v>
      </c>
      <c r="E8" s="239"/>
      <c r="F8" s="242"/>
      <c r="G8" s="240" t="s">
        <v>112</v>
      </c>
      <c r="H8" s="239"/>
      <c r="I8" s="242"/>
      <c r="J8" s="240" t="s">
        <v>142</v>
      </c>
      <c r="K8" s="244"/>
      <c r="M8" s="240" t="s">
        <v>142</v>
      </c>
      <c r="N8" s="244"/>
      <c r="R8" s="46"/>
    </row>
    <row r="9" spans="1:18" x14ac:dyDescent="0.25">
      <c r="A9" s="1" t="s">
        <v>106</v>
      </c>
      <c r="B9" s="20">
        <f>14.75+6.15+3.7+8.6+11.45+5.8+5.8+(4*2)+(2*2.65)+1.7+1.3+3.21+6.8+2.85+2.83+2.85</f>
        <v>91.089999999999961</v>
      </c>
      <c r="C9" s="242"/>
      <c r="D9" s="21" t="s">
        <v>106</v>
      </c>
      <c r="E9" s="20">
        <f>B9</f>
        <v>91.089999999999961</v>
      </c>
      <c r="F9" s="242"/>
      <c r="G9" s="21" t="s">
        <v>106</v>
      </c>
      <c r="H9" s="20">
        <f>B9</f>
        <v>91.089999999999961</v>
      </c>
      <c r="I9" s="242"/>
      <c r="J9" s="21" t="s">
        <v>106</v>
      </c>
      <c r="K9" s="1">
        <f>B9</f>
        <v>91.089999999999961</v>
      </c>
      <c r="M9" s="21" t="s">
        <v>106</v>
      </c>
      <c r="N9" s="1">
        <f>E9</f>
        <v>91.089999999999961</v>
      </c>
    </row>
    <row r="10" spans="1:18" x14ac:dyDescent="0.25">
      <c r="A10" s="1" t="s">
        <v>107</v>
      </c>
      <c r="B10" s="20">
        <v>0.12</v>
      </c>
      <c r="C10" s="242"/>
      <c r="D10" s="21" t="s">
        <v>108</v>
      </c>
      <c r="E10" s="20">
        <v>0.3</v>
      </c>
      <c r="F10" s="242"/>
      <c r="G10" s="21" t="s">
        <v>113</v>
      </c>
      <c r="H10" s="20">
        <f>0.12+0.1</f>
        <v>0.22</v>
      </c>
      <c r="I10" s="242"/>
      <c r="J10" s="21" t="s">
        <v>107</v>
      </c>
      <c r="K10" s="1">
        <v>0.12</v>
      </c>
      <c r="M10" s="21" t="s">
        <v>107</v>
      </c>
      <c r="N10" s="42" t="s">
        <v>192</v>
      </c>
    </row>
    <row r="11" spans="1:18" x14ac:dyDescent="0.25">
      <c r="A11" s="1" t="s">
        <v>108</v>
      </c>
      <c r="B11" s="20">
        <v>0.3</v>
      </c>
      <c r="C11" s="242"/>
      <c r="D11" s="21" t="s">
        <v>110</v>
      </c>
      <c r="E11" s="20">
        <v>2</v>
      </c>
      <c r="F11" s="242"/>
      <c r="G11" s="21" t="s">
        <v>114</v>
      </c>
      <c r="H11" s="20">
        <v>0.45</v>
      </c>
      <c r="I11" s="242"/>
      <c r="J11" s="21" t="s">
        <v>143</v>
      </c>
      <c r="K11" s="1">
        <f>0.05*2</f>
        <v>0.1</v>
      </c>
      <c r="M11" s="21" t="s">
        <v>143</v>
      </c>
      <c r="N11" s="1">
        <v>0.1</v>
      </c>
    </row>
    <row r="12" spans="1:18" x14ac:dyDescent="0.25">
      <c r="A12" s="1" t="s">
        <v>109</v>
      </c>
      <c r="B12" s="30">
        <f>B9*B10*B11</f>
        <v>3.2792399999999984</v>
      </c>
      <c r="C12" s="242"/>
      <c r="D12" s="21" t="s">
        <v>111</v>
      </c>
      <c r="E12" s="30">
        <f>E9*E10*E11</f>
        <v>54.653999999999975</v>
      </c>
      <c r="F12" s="242"/>
      <c r="G12" s="21" t="s">
        <v>115</v>
      </c>
      <c r="H12" s="30">
        <f>H9*H10*H11</f>
        <v>9.017909999999997</v>
      </c>
      <c r="I12" s="242"/>
      <c r="J12" s="21" t="s">
        <v>149</v>
      </c>
      <c r="K12" s="26">
        <f>K9*((K11*2)+K10)</f>
        <v>29.148799999999987</v>
      </c>
      <c r="M12" s="21" t="s">
        <v>149</v>
      </c>
      <c r="N12" s="26">
        <f>N9*N11</f>
        <v>9.1089999999999964</v>
      </c>
    </row>
    <row r="13" spans="1:18" ht="15.75" thickBot="1" x14ac:dyDescent="0.3">
      <c r="A13" s="262"/>
      <c r="B13" s="263"/>
      <c r="C13" s="242"/>
      <c r="D13" s="261"/>
      <c r="E13" s="262"/>
      <c r="F13" s="242"/>
      <c r="G13" s="261"/>
      <c r="H13" s="262"/>
      <c r="I13" s="242"/>
      <c r="J13" s="261"/>
      <c r="K13" s="267"/>
      <c r="M13" s="261"/>
      <c r="N13" s="267"/>
    </row>
    <row r="14" spans="1:18" ht="15.75" thickBot="1" x14ac:dyDescent="0.3">
      <c r="A14" s="28" t="s">
        <v>109</v>
      </c>
      <c r="B14" s="31">
        <f>B6+B12</f>
        <v>4.1285399999999983</v>
      </c>
      <c r="C14" s="243"/>
      <c r="D14" s="29" t="s">
        <v>111</v>
      </c>
      <c r="E14" s="31">
        <f>E12+E6</f>
        <v>63.593999999999973</v>
      </c>
      <c r="F14" s="243"/>
      <c r="G14" s="29" t="s">
        <v>115</v>
      </c>
      <c r="H14" s="31">
        <f>H6+H12</f>
        <v>10.627109999999997</v>
      </c>
      <c r="I14" s="243"/>
      <c r="J14" s="29" t="s">
        <v>149</v>
      </c>
      <c r="K14" s="27">
        <f>K6+K12</f>
        <v>34.959799999999987</v>
      </c>
      <c r="M14" s="29" t="s">
        <v>149</v>
      </c>
      <c r="N14" s="27">
        <f>N6+N12</f>
        <v>10.598999999999997</v>
      </c>
    </row>
    <row r="16" spans="1:18" ht="15.75" thickBot="1" x14ac:dyDescent="0.3"/>
    <row r="17" spans="1:14" x14ac:dyDescent="0.25">
      <c r="A17" s="252" t="s">
        <v>122</v>
      </c>
      <c r="B17" s="253"/>
      <c r="C17" s="254"/>
      <c r="D17" s="252" t="s">
        <v>155</v>
      </c>
      <c r="E17" s="253"/>
      <c r="F17" s="254"/>
      <c r="G17" s="252" t="s">
        <v>152</v>
      </c>
      <c r="H17" s="253"/>
      <c r="I17" s="254"/>
      <c r="J17" s="252" t="s">
        <v>153</v>
      </c>
      <c r="K17" s="253"/>
      <c r="L17" s="254"/>
      <c r="M17" s="252" t="s">
        <v>154</v>
      </c>
      <c r="N17" s="253"/>
    </row>
    <row r="18" spans="1:14" x14ac:dyDescent="0.25">
      <c r="A18" s="22" t="s">
        <v>120</v>
      </c>
      <c r="B18" s="23">
        <v>1</v>
      </c>
      <c r="C18" s="255"/>
      <c r="D18" s="22" t="s">
        <v>120</v>
      </c>
      <c r="E18" s="23">
        <v>1</v>
      </c>
      <c r="F18" s="255"/>
      <c r="G18" s="22" t="s">
        <v>120</v>
      </c>
      <c r="H18" s="23">
        <v>0.5</v>
      </c>
      <c r="I18" s="255"/>
      <c r="J18" s="22" t="s">
        <v>120</v>
      </c>
      <c r="K18" s="23">
        <v>0.5</v>
      </c>
      <c r="L18" s="255"/>
      <c r="M18" s="22" t="s">
        <v>120</v>
      </c>
      <c r="N18" s="23">
        <v>1</v>
      </c>
    </row>
    <row r="19" spans="1:14" x14ac:dyDescent="0.25">
      <c r="A19" s="22" t="s">
        <v>121</v>
      </c>
      <c r="B19" s="23">
        <v>3</v>
      </c>
      <c r="C19" s="255"/>
      <c r="D19" s="22" t="s">
        <v>121</v>
      </c>
      <c r="E19" s="23">
        <v>2</v>
      </c>
      <c r="F19" s="255"/>
      <c r="G19" s="22" t="s">
        <v>121</v>
      </c>
      <c r="H19" s="23">
        <v>1.5</v>
      </c>
      <c r="I19" s="255"/>
      <c r="J19" s="22" t="s">
        <v>121</v>
      </c>
      <c r="K19" s="23">
        <v>0.5</v>
      </c>
      <c r="L19" s="255"/>
      <c r="M19" s="22" t="s">
        <v>121</v>
      </c>
      <c r="N19" s="23">
        <v>1.6</v>
      </c>
    </row>
    <row r="20" spans="1:14" x14ac:dyDescent="0.25">
      <c r="A20" s="22" t="s">
        <v>102</v>
      </c>
      <c r="B20" s="23">
        <v>2</v>
      </c>
      <c r="C20" s="255"/>
      <c r="D20" s="22" t="s">
        <v>102</v>
      </c>
      <c r="E20" s="23">
        <v>1</v>
      </c>
      <c r="F20" s="255"/>
      <c r="G20" s="22" t="s">
        <v>102</v>
      </c>
      <c r="H20" s="23">
        <v>1</v>
      </c>
      <c r="I20" s="255"/>
      <c r="J20" s="22" t="s">
        <v>102</v>
      </c>
      <c r="K20" s="23">
        <v>1</v>
      </c>
      <c r="L20" s="255"/>
      <c r="M20" s="22" t="s">
        <v>102</v>
      </c>
      <c r="N20" s="23">
        <v>1</v>
      </c>
    </row>
    <row r="21" spans="1:14" ht="15.75" thickBot="1" x14ac:dyDescent="0.3">
      <c r="A21" s="24" t="s">
        <v>151</v>
      </c>
      <c r="B21" s="25">
        <f>B20*B19*B18</f>
        <v>6</v>
      </c>
      <c r="C21" s="256"/>
      <c r="D21" s="24" t="s">
        <v>151</v>
      </c>
      <c r="E21" s="25">
        <f>E20*E19*E18</f>
        <v>2</v>
      </c>
      <c r="F21" s="256"/>
      <c r="G21" s="24" t="s">
        <v>151</v>
      </c>
      <c r="H21" s="25">
        <f>H20*H19*H18</f>
        <v>0.75</v>
      </c>
      <c r="I21" s="256"/>
      <c r="J21" s="24" t="s">
        <v>151</v>
      </c>
      <c r="K21" s="25">
        <f>K20*K19*K18</f>
        <v>0.25</v>
      </c>
      <c r="L21" s="256"/>
      <c r="M21" s="24" t="s">
        <v>151</v>
      </c>
      <c r="N21" s="25">
        <f>N20*N19*N18</f>
        <v>1.6</v>
      </c>
    </row>
    <row r="22" spans="1:14" ht="15.75" thickBot="1" x14ac:dyDescent="0.3"/>
    <row r="23" spans="1:14" x14ac:dyDescent="0.25">
      <c r="A23" s="252" t="s">
        <v>150</v>
      </c>
      <c r="B23" s="253"/>
      <c r="C23" s="254"/>
      <c r="D23" s="252" t="s">
        <v>156</v>
      </c>
      <c r="E23" s="253"/>
      <c r="F23" s="254"/>
      <c r="G23" s="252" t="s">
        <v>158</v>
      </c>
      <c r="H23" s="253"/>
    </row>
    <row r="24" spans="1:14" x14ac:dyDescent="0.25">
      <c r="A24" s="22" t="s">
        <v>120</v>
      </c>
      <c r="B24" s="23">
        <v>2.1</v>
      </c>
      <c r="C24" s="255"/>
      <c r="D24" s="22" t="s">
        <v>120</v>
      </c>
      <c r="E24" s="23">
        <v>2.1</v>
      </c>
      <c r="F24" s="255"/>
      <c r="G24" s="22" t="s">
        <v>120</v>
      </c>
      <c r="H24" s="23">
        <v>2.1</v>
      </c>
    </row>
    <row r="25" spans="1:14" x14ac:dyDescent="0.25">
      <c r="A25" s="22" t="s">
        <v>121</v>
      </c>
      <c r="B25" s="23">
        <v>3.5</v>
      </c>
      <c r="C25" s="255"/>
      <c r="D25" s="22" t="s">
        <v>121</v>
      </c>
      <c r="E25" s="23">
        <v>0.8</v>
      </c>
      <c r="F25" s="255"/>
      <c r="G25" s="22" t="s">
        <v>121</v>
      </c>
      <c r="H25" s="23">
        <v>0.8</v>
      </c>
    </row>
    <row r="26" spans="1:14" x14ac:dyDescent="0.25">
      <c r="A26" s="22" t="s">
        <v>102</v>
      </c>
      <c r="B26" s="23">
        <v>1</v>
      </c>
      <c r="C26" s="255"/>
      <c r="D26" s="22" t="s">
        <v>102</v>
      </c>
      <c r="E26" s="23">
        <v>3</v>
      </c>
      <c r="F26" s="255"/>
      <c r="G26" s="22" t="s">
        <v>102</v>
      </c>
      <c r="H26" s="23">
        <v>1</v>
      </c>
    </row>
    <row r="27" spans="1:14" ht="15.75" thickBot="1" x14ac:dyDescent="0.3">
      <c r="A27" s="24" t="s">
        <v>151</v>
      </c>
      <c r="B27" s="25">
        <f>B26*B25*B24</f>
        <v>7.3500000000000005</v>
      </c>
      <c r="C27" s="256"/>
      <c r="D27" s="24" t="s">
        <v>151</v>
      </c>
      <c r="E27" s="25">
        <f>E26*E25*E24</f>
        <v>5.0400000000000009</v>
      </c>
      <c r="F27" s="256"/>
      <c r="G27" s="24" t="s">
        <v>151</v>
      </c>
      <c r="H27" s="25">
        <f>H26*H25*H24</f>
        <v>1.6800000000000002</v>
      </c>
    </row>
    <row r="28" spans="1:14" ht="15.75" thickBot="1" x14ac:dyDescent="0.3"/>
    <row r="29" spans="1:14" ht="15.75" thickBot="1" x14ac:dyDescent="0.3">
      <c r="A29" s="247" t="s">
        <v>157</v>
      </c>
      <c r="B29" s="248"/>
      <c r="C29" s="33">
        <f>SUM(B21+E21+H21+K21+N21+H27+E27+B27)</f>
        <v>24.67</v>
      </c>
      <c r="D29" s="247" t="s">
        <v>159</v>
      </c>
      <c r="E29" s="248"/>
      <c r="F29" s="32" t="e">
        <f>#REF!-C29+#REF!</f>
        <v>#REF!</v>
      </c>
    </row>
    <row r="31" spans="1:14" x14ac:dyDescent="0.25">
      <c r="A31" s="244" t="s">
        <v>161</v>
      </c>
      <c r="B31" s="244"/>
      <c r="C31" s="244"/>
      <c r="D31" s="244" t="s">
        <v>162</v>
      </c>
      <c r="E31" s="244"/>
      <c r="F31" s="244"/>
      <c r="G31" s="246" t="s">
        <v>163</v>
      </c>
      <c r="H31" s="245">
        <f>B32+E32</f>
        <v>17.7</v>
      </c>
    </row>
    <row r="32" spans="1:14" x14ac:dyDescent="0.25">
      <c r="A32" s="1" t="s">
        <v>106</v>
      </c>
      <c r="B32" s="1">
        <f>3.5+0.8+0.8+0.8+0.7</f>
        <v>6.6</v>
      </c>
      <c r="C32" s="244"/>
      <c r="D32" s="1" t="s">
        <v>106</v>
      </c>
      <c r="E32" s="1">
        <f>3+3+1+2+1.5+0.6</f>
        <v>11.1</v>
      </c>
      <c r="F32" s="244"/>
      <c r="G32" s="246"/>
      <c r="H32" s="245"/>
    </row>
    <row r="35" spans="1:8" x14ac:dyDescent="0.25">
      <c r="A35" t="s">
        <v>164</v>
      </c>
      <c r="B35">
        <v>22.98</v>
      </c>
      <c r="D35" t="s">
        <v>165</v>
      </c>
      <c r="E35" s="34"/>
    </row>
    <row r="36" spans="1:8" ht="15.75" thickBot="1" x14ac:dyDescent="0.3"/>
    <row r="37" spans="1:8" ht="15.75" thickBot="1" x14ac:dyDescent="0.3">
      <c r="A37" s="249" t="s">
        <v>176</v>
      </c>
      <c r="B37" s="250"/>
      <c r="C37" s="250"/>
      <c r="D37" s="250"/>
      <c r="E37" s="251"/>
    </row>
    <row r="38" spans="1:8" x14ac:dyDescent="0.25">
      <c r="A38" s="38" t="s">
        <v>166</v>
      </c>
      <c r="B38" s="39">
        <f>11.21+12.75+9.21+2+4.29</f>
        <v>39.46</v>
      </c>
      <c r="C38" s="241"/>
      <c r="D38" s="40" t="s">
        <v>171</v>
      </c>
      <c r="E38" s="41">
        <f>1.82+1.82+11.06+11.06+8.16+1.7+1.7+4.14+4.14+1.59+1.59+2.15+2+2.4+2.15+1.74+4.91+4.14+7.06</f>
        <v>75.330000000000013</v>
      </c>
      <c r="G38" s="38" t="s">
        <v>177</v>
      </c>
      <c r="H38" s="39">
        <f>3*2*0.8*2.1</f>
        <v>10.080000000000002</v>
      </c>
    </row>
    <row r="39" spans="1:8" x14ac:dyDescent="0.25">
      <c r="A39" s="22" t="s">
        <v>167</v>
      </c>
      <c r="B39" s="20">
        <f>2.91+0.15+0.6</f>
        <v>3.66</v>
      </c>
      <c r="C39" s="242"/>
      <c r="D39" s="21" t="s">
        <v>172</v>
      </c>
      <c r="E39" s="23">
        <v>2.91</v>
      </c>
      <c r="G39" s="22" t="s">
        <v>178</v>
      </c>
      <c r="H39" s="20">
        <f>5*1.6*1</f>
        <v>8</v>
      </c>
    </row>
    <row r="40" spans="1:8" x14ac:dyDescent="0.25">
      <c r="A40" s="22" t="s">
        <v>173</v>
      </c>
      <c r="B40" s="20">
        <f>B38*B39</f>
        <v>144.42360000000002</v>
      </c>
      <c r="C40" s="242"/>
      <c r="D40" s="21" t="s">
        <v>174</v>
      </c>
      <c r="E40" s="23">
        <f>E38*E39</f>
        <v>219.21030000000005</v>
      </c>
      <c r="G40" s="22"/>
      <c r="H40" s="20"/>
    </row>
    <row r="41" spans="1:8" x14ac:dyDescent="0.25">
      <c r="A41" s="22" t="s">
        <v>168</v>
      </c>
      <c r="B41" s="20">
        <v>19.809999999999999</v>
      </c>
      <c r="C41" s="242"/>
      <c r="D41" s="21" t="s">
        <v>175</v>
      </c>
      <c r="E41" s="23">
        <f>103.3+33.14+7.05+3.2</f>
        <v>146.69</v>
      </c>
      <c r="G41" s="22"/>
      <c r="H41" s="20"/>
    </row>
    <row r="42" spans="1:8" x14ac:dyDescent="0.25">
      <c r="A42" s="22" t="s">
        <v>169</v>
      </c>
      <c r="B42" s="20">
        <f>(3*1*2)+(3.5*2.1)+2</f>
        <v>15.350000000000001</v>
      </c>
      <c r="C42" s="242"/>
      <c r="D42" s="21" t="s">
        <v>169</v>
      </c>
      <c r="E42" s="41">
        <f>((1.59+1.59+2.15+2+2.4+2.15+1.74+4.91+4.14+7.06)*2.1)</f>
        <v>62.433000000000007</v>
      </c>
      <c r="G42" s="22"/>
      <c r="H42" s="20"/>
    </row>
    <row r="43" spans="1:8" ht="15.75" thickBot="1" x14ac:dyDescent="0.3">
      <c r="A43" s="24" t="s">
        <v>170</v>
      </c>
      <c r="B43" s="35">
        <f>B40+B41-B42</f>
        <v>148.88360000000003</v>
      </c>
      <c r="C43" s="243"/>
      <c r="D43" s="36" t="s">
        <v>170</v>
      </c>
      <c r="E43" s="37">
        <f>E40+E41-E42</f>
        <v>303.46730000000002</v>
      </c>
      <c r="G43" s="24" t="s">
        <v>170</v>
      </c>
      <c r="H43" s="35">
        <f>H38+H39</f>
        <v>18.080000000000002</v>
      </c>
    </row>
    <row r="45" spans="1:8" x14ac:dyDescent="0.25">
      <c r="A45" s="239" t="s">
        <v>180</v>
      </c>
      <c r="B45" s="240"/>
    </row>
    <row r="46" spans="1:8" x14ac:dyDescent="0.25">
      <c r="A46" s="1" t="s">
        <v>144</v>
      </c>
      <c r="B46" s="1">
        <v>0.2</v>
      </c>
    </row>
    <row r="47" spans="1:8" x14ac:dyDescent="0.25">
      <c r="A47" s="1" t="s">
        <v>179</v>
      </c>
      <c r="B47" s="1">
        <v>0.12</v>
      </c>
    </row>
    <row r="48" spans="1:8" x14ac:dyDescent="0.25">
      <c r="A48" s="1" t="s">
        <v>106</v>
      </c>
      <c r="B48" s="1">
        <f>11+11+3.9+4.2+4.2+4.2+3.5+5.7+5.7+1.8+3.5+1.3+3.8+3.8</f>
        <v>67.599999999999994</v>
      </c>
    </row>
    <row r="49" spans="1:2" x14ac:dyDescent="0.25">
      <c r="A49" s="1" t="s">
        <v>146</v>
      </c>
      <c r="B49" s="1">
        <f>B46*B47*B48</f>
        <v>1.6223999999999998</v>
      </c>
    </row>
  </sheetData>
  <mergeCells count="44">
    <mergeCell ref="J13:K13"/>
    <mergeCell ref="D13:E13"/>
    <mergeCell ref="M2:N2"/>
    <mergeCell ref="M8:N8"/>
    <mergeCell ref="M13:N13"/>
    <mergeCell ref="F2:F14"/>
    <mergeCell ref="D2:E2"/>
    <mergeCell ref="A1:K1"/>
    <mergeCell ref="D17:E17"/>
    <mergeCell ref="G17:H17"/>
    <mergeCell ref="J17:K17"/>
    <mergeCell ref="I2:I14"/>
    <mergeCell ref="G13:H13"/>
    <mergeCell ref="A17:B17"/>
    <mergeCell ref="C2:C14"/>
    <mergeCell ref="A13:B13"/>
    <mergeCell ref="G2:H2"/>
    <mergeCell ref="A2:B2"/>
    <mergeCell ref="J8:K8"/>
    <mergeCell ref="J2:K2"/>
    <mergeCell ref="A8:B8"/>
    <mergeCell ref="D8:E8"/>
    <mergeCell ref="G8:H8"/>
    <mergeCell ref="G23:H23"/>
    <mergeCell ref="M17:N17"/>
    <mergeCell ref="C17:C21"/>
    <mergeCell ref="F17:F21"/>
    <mergeCell ref="I17:I21"/>
    <mergeCell ref="L17:L21"/>
    <mergeCell ref="F23:F27"/>
    <mergeCell ref="A29:B29"/>
    <mergeCell ref="A37:E37"/>
    <mergeCell ref="D29:E29"/>
    <mergeCell ref="A23:B23"/>
    <mergeCell ref="C23:C27"/>
    <mergeCell ref="D23:E23"/>
    <mergeCell ref="A45:B45"/>
    <mergeCell ref="C38:C43"/>
    <mergeCell ref="A31:B31"/>
    <mergeCell ref="D31:E31"/>
    <mergeCell ref="H31:H32"/>
    <mergeCell ref="C31:C32"/>
    <mergeCell ref="F31:F32"/>
    <mergeCell ref="G31:G32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1:Q31"/>
  <sheetViews>
    <sheetView topLeftCell="A10" workbookViewId="0">
      <selection activeCell="E26" sqref="E26"/>
    </sheetView>
  </sheetViews>
  <sheetFormatPr defaultRowHeight="15" x14ac:dyDescent="0.25"/>
  <cols>
    <col min="4" max="4" width="21.7109375" bestFit="1" customWidth="1"/>
    <col min="5" max="5" width="13.28515625" customWidth="1"/>
    <col min="6" max="6" width="5.28515625" customWidth="1"/>
    <col min="7" max="7" width="21.7109375" bestFit="1" customWidth="1"/>
    <col min="8" max="8" width="16.140625" customWidth="1"/>
    <col min="9" max="9" width="8.140625" customWidth="1"/>
    <col min="10" max="10" width="21.5703125" customWidth="1"/>
    <col min="11" max="11" width="15.140625" customWidth="1"/>
    <col min="12" max="12" width="5.7109375" customWidth="1"/>
    <col min="13" max="13" width="18.42578125" bestFit="1" customWidth="1"/>
    <col min="14" max="14" width="7.42578125" customWidth="1"/>
    <col min="15" max="15" width="5.7109375" customWidth="1"/>
    <col min="16" max="16" width="19.28515625" customWidth="1"/>
  </cols>
  <sheetData>
    <row r="1" spans="4:17" x14ac:dyDescent="0.25">
      <c r="E1" s="19"/>
      <c r="F1" s="46"/>
      <c r="H1" s="19"/>
      <c r="I1" s="46"/>
      <c r="K1" s="19"/>
      <c r="L1" s="46"/>
      <c r="N1" s="19"/>
      <c r="Q1" s="19"/>
    </row>
    <row r="3" spans="4:17" x14ac:dyDescent="0.25">
      <c r="D3" s="244" t="s">
        <v>148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</row>
    <row r="4" spans="4:17" x14ac:dyDescent="0.25">
      <c r="D4" s="244" t="s">
        <v>218</v>
      </c>
      <c r="E4" s="244"/>
      <c r="F4" s="244"/>
      <c r="G4" s="244" t="s">
        <v>219</v>
      </c>
      <c r="H4" s="244"/>
      <c r="I4" s="244" t="s">
        <v>147</v>
      </c>
      <c r="J4" s="244" t="s">
        <v>112</v>
      </c>
      <c r="K4" s="244"/>
      <c r="L4" s="244"/>
      <c r="M4" s="244" t="s">
        <v>223</v>
      </c>
      <c r="N4" s="244"/>
      <c r="P4" s="244" t="s">
        <v>329</v>
      </c>
      <c r="Q4" s="244"/>
    </row>
    <row r="5" spans="4:17" x14ac:dyDescent="0.25">
      <c r="D5" s="1" t="s">
        <v>106</v>
      </c>
      <c r="E5" s="1">
        <v>16.5</v>
      </c>
      <c r="F5" s="244"/>
      <c r="G5" s="1" t="s">
        <v>106</v>
      </c>
      <c r="H5" s="1">
        <f>E5</f>
        <v>16.5</v>
      </c>
      <c r="I5" s="244"/>
      <c r="J5" s="1" t="s">
        <v>106</v>
      </c>
      <c r="K5" s="1">
        <f>E5</f>
        <v>16.5</v>
      </c>
      <c r="L5" s="244"/>
      <c r="M5" s="1" t="s">
        <v>106</v>
      </c>
      <c r="N5" s="1">
        <f>E5</f>
        <v>16.5</v>
      </c>
      <c r="P5" s="1" t="s">
        <v>106</v>
      </c>
      <c r="Q5" s="1">
        <f>H5</f>
        <v>16.5</v>
      </c>
    </row>
    <row r="6" spans="4:17" x14ac:dyDescent="0.25">
      <c r="D6" s="1" t="s">
        <v>107</v>
      </c>
      <c r="E6" s="1">
        <v>0.19</v>
      </c>
      <c r="F6" s="244"/>
      <c r="G6" s="1" t="s">
        <v>108</v>
      </c>
      <c r="H6" s="1">
        <v>0.3</v>
      </c>
      <c r="I6" s="244"/>
      <c r="J6" s="1" t="s">
        <v>113</v>
      </c>
      <c r="K6" s="1">
        <f>0.14+0.1</f>
        <v>0.24000000000000002</v>
      </c>
      <c r="L6" s="244"/>
      <c r="M6" s="1" t="s">
        <v>107</v>
      </c>
      <c r="N6" s="1">
        <v>0.19</v>
      </c>
      <c r="P6" s="1" t="s">
        <v>107</v>
      </c>
      <c r="Q6" s="44">
        <v>0.19</v>
      </c>
    </row>
    <row r="7" spans="4:17" x14ac:dyDescent="0.25">
      <c r="D7" s="1" t="s">
        <v>108</v>
      </c>
      <c r="E7" s="1">
        <v>0.3</v>
      </c>
      <c r="F7" s="244"/>
      <c r="G7" s="1" t="s">
        <v>110</v>
      </c>
      <c r="H7" s="1">
        <v>2</v>
      </c>
      <c r="I7" s="244"/>
      <c r="J7" s="1" t="s">
        <v>114</v>
      </c>
      <c r="K7" s="1">
        <v>0.45</v>
      </c>
      <c r="L7" s="244"/>
      <c r="M7" s="1" t="s">
        <v>144</v>
      </c>
      <c r="N7" s="1">
        <f>0.05*2</f>
        <v>0.1</v>
      </c>
      <c r="P7" s="1" t="s">
        <v>144</v>
      </c>
      <c r="Q7" s="44">
        <v>0.15</v>
      </c>
    </row>
    <row r="8" spans="4:17" x14ac:dyDescent="0.25">
      <c r="D8" s="1" t="s">
        <v>109</v>
      </c>
      <c r="E8" s="26">
        <f>E5*E6*E7</f>
        <v>0.9405</v>
      </c>
      <c r="F8" s="244"/>
      <c r="G8" s="1" t="s">
        <v>189</v>
      </c>
      <c r="H8" s="26">
        <f>H5*H6*H7</f>
        <v>9.9</v>
      </c>
      <c r="I8" s="244"/>
      <c r="J8" s="1" t="s">
        <v>115</v>
      </c>
      <c r="K8" s="26">
        <f>K5*K6*K7</f>
        <v>1.7820000000000003</v>
      </c>
      <c r="L8" s="244"/>
      <c r="M8" s="1" t="s">
        <v>149</v>
      </c>
      <c r="N8" s="26">
        <f>((N7*2)+N6)*N5</f>
        <v>6.4350000000000005</v>
      </c>
      <c r="P8" s="1" t="s">
        <v>330</v>
      </c>
      <c r="Q8" s="26">
        <f>Q5*Q7*Q6</f>
        <v>0.47025</v>
      </c>
    </row>
    <row r="9" spans="4:17" x14ac:dyDescent="0.25">
      <c r="D9" s="1"/>
      <c r="E9" s="1"/>
      <c r="F9" s="244"/>
      <c r="G9" s="1"/>
      <c r="H9" s="1"/>
      <c r="I9" s="244"/>
      <c r="J9" s="1"/>
      <c r="K9" s="1"/>
      <c r="L9" s="244"/>
      <c r="M9" s="1"/>
      <c r="N9" s="1"/>
      <c r="P9" s="1"/>
      <c r="Q9" s="1"/>
    </row>
    <row r="10" spans="4:17" x14ac:dyDescent="0.25">
      <c r="D10" s="244" t="s">
        <v>131</v>
      </c>
      <c r="E10" s="244"/>
      <c r="F10" s="244"/>
      <c r="G10" s="244" t="s">
        <v>220</v>
      </c>
      <c r="H10" s="244"/>
      <c r="I10" s="244"/>
      <c r="J10" s="244" t="s">
        <v>112</v>
      </c>
      <c r="K10" s="244"/>
      <c r="L10" s="244"/>
      <c r="M10" s="244" t="s">
        <v>142</v>
      </c>
      <c r="N10" s="244"/>
      <c r="P10" s="244" t="s">
        <v>142</v>
      </c>
      <c r="Q10" s="244"/>
    </row>
    <row r="11" spans="4:17" x14ac:dyDescent="0.25">
      <c r="D11" s="1" t="s">
        <v>106</v>
      </c>
      <c r="E11" s="1">
        <f>14.75+6.15+3.7+8.6+9.05+1.6+3.4+7.86+4.06+2.95+2.95+2.03+3+3+2.5+2.5+3.65+3.01+2.65+2.5+1.65</f>
        <v>91.560000000000031</v>
      </c>
      <c r="F11" s="244"/>
      <c r="G11" s="1" t="s">
        <v>106</v>
      </c>
      <c r="H11" s="1">
        <f>E11</f>
        <v>91.560000000000031</v>
      </c>
      <c r="I11" s="244"/>
      <c r="J11" s="1" t="s">
        <v>106</v>
      </c>
      <c r="K11" s="1">
        <f>E11</f>
        <v>91.560000000000031</v>
      </c>
      <c r="L11" s="244"/>
      <c r="M11" s="1" t="s">
        <v>106</v>
      </c>
      <c r="N11" s="1">
        <f>E11</f>
        <v>91.560000000000031</v>
      </c>
      <c r="P11" s="1" t="s">
        <v>106</v>
      </c>
      <c r="Q11" s="1">
        <f>H11</f>
        <v>91.560000000000031</v>
      </c>
    </row>
    <row r="12" spans="4:17" x14ac:dyDescent="0.25">
      <c r="D12" s="1" t="s">
        <v>107</v>
      </c>
      <c r="E12" s="1">
        <v>0.12</v>
      </c>
      <c r="F12" s="244"/>
      <c r="G12" s="1" t="s">
        <v>108</v>
      </c>
      <c r="H12" s="1">
        <v>0.3</v>
      </c>
      <c r="I12" s="244"/>
      <c r="J12" s="1" t="s">
        <v>113</v>
      </c>
      <c r="K12" s="1">
        <f>0.12+0.1</f>
        <v>0.22</v>
      </c>
      <c r="L12" s="244"/>
      <c r="M12" s="1" t="s">
        <v>107</v>
      </c>
      <c r="N12" s="1">
        <v>0.12</v>
      </c>
      <c r="P12" s="1" t="s">
        <v>107</v>
      </c>
      <c r="Q12" s="44">
        <v>0.12</v>
      </c>
    </row>
    <row r="13" spans="4:17" x14ac:dyDescent="0.25">
      <c r="D13" s="1" t="s">
        <v>108</v>
      </c>
      <c r="E13" s="1">
        <v>0.3</v>
      </c>
      <c r="F13" s="244"/>
      <c r="G13" s="1" t="s">
        <v>110</v>
      </c>
      <c r="H13" s="1">
        <v>2</v>
      </c>
      <c r="I13" s="244"/>
      <c r="J13" s="1" t="s">
        <v>114</v>
      </c>
      <c r="K13" s="1">
        <v>0.45</v>
      </c>
      <c r="L13" s="244"/>
      <c r="M13" s="1" t="s">
        <v>143</v>
      </c>
      <c r="N13" s="1">
        <f>0.05*2</f>
        <v>0.1</v>
      </c>
      <c r="P13" s="1" t="s">
        <v>143</v>
      </c>
      <c r="Q13" s="1">
        <v>0.15</v>
      </c>
    </row>
    <row r="14" spans="4:17" x14ac:dyDescent="0.25">
      <c r="D14" s="1" t="s">
        <v>109</v>
      </c>
      <c r="E14" s="26">
        <f>E11*E12*E13</f>
        <v>3.2961600000000009</v>
      </c>
      <c r="F14" s="244"/>
      <c r="G14" s="1" t="s">
        <v>111</v>
      </c>
      <c r="H14" s="26">
        <f>H11*H12*H13</f>
        <v>54.936000000000014</v>
      </c>
      <c r="I14" s="244"/>
      <c r="J14" s="1" t="s">
        <v>115</v>
      </c>
      <c r="K14" s="26">
        <f>K11*K12*K13</f>
        <v>9.0644400000000029</v>
      </c>
      <c r="L14" s="244"/>
      <c r="M14" s="1" t="s">
        <v>149</v>
      </c>
      <c r="N14" s="26">
        <f>N11*((N13*2)+N12)</f>
        <v>29.29920000000001</v>
      </c>
      <c r="P14" s="1" t="s">
        <v>330</v>
      </c>
      <c r="Q14" s="26">
        <f>Q11*Q13*Q12</f>
        <v>1.6480800000000004</v>
      </c>
    </row>
    <row r="15" spans="4:17" x14ac:dyDescent="0.25"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P15" s="244"/>
      <c r="Q15" s="244"/>
    </row>
    <row r="16" spans="4:17" x14ac:dyDescent="0.25">
      <c r="D16" s="1" t="s">
        <v>109</v>
      </c>
      <c r="E16" s="26">
        <f>E8+E14</f>
        <v>4.2366600000000005</v>
      </c>
      <c r="F16" s="244"/>
      <c r="G16" s="1" t="s">
        <v>111</v>
      </c>
      <c r="H16" s="26">
        <f>H14+H8</f>
        <v>64.836000000000013</v>
      </c>
      <c r="I16" s="244"/>
      <c r="J16" s="1" t="s">
        <v>115</v>
      </c>
      <c r="K16" s="26">
        <f>K8+K14</f>
        <v>10.846440000000003</v>
      </c>
      <c r="L16" s="244"/>
      <c r="M16" s="1" t="s">
        <v>149</v>
      </c>
      <c r="N16" s="26">
        <f>N8+N14</f>
        <v>35.734200000000008</v>
      </c>
      <c r="P16" s="1" t="s">
        <v>330</v>
      </c>
      <c r="Q16" s="26">
        <f>Q8+Q14</f>
        <v>2.1183300000000003</v>
      </c>
    </row>
    <row r="18" spans="4:17" x14ac:dyDescent="0.25">
      <c r="D18" s="244" t="s">
        <v>456</v>
      </c>
      <c r="E18" s="244"/>
      <c r="F18" s="244"/>
      <c r="G18" s="244"/>
      <c r="H18" s="244"/>
      <c r="I18" s="244"/>
      <c r="J18" s="244"/>
      <c r="K18" s="244"/>
      <c r="L18" s="244"/>
      <c r="M18" s="244"/>
      <c r="N18" s="244"/>
    </row>
    <row r="19" spans="4:17" x14ac:dyDescent="0.25">
      <c r="D19" s="244" t="s">
        <v>218</v>
      </c>
      <c r="E19" s="244"/>
      <c r="F19" s="244"/>
      <c r="G19" s="244" t="s">
        <v>219</v>
      </c>
      <c r="H19" s="244"/>
      <c r="I19" s="244" t="s">
        <v>147</v>
      </c>
      <c r="J19" s="244" t="s">
        <v>112</v>
      </c>
      <c r="K19" s="244"/>
      <c r="L19" s="244"/>
      <c r="M19" s="244" t="s">
        <v>223</v>
      </c>
      <c r="N19" s="244"/>
      <c r="P19" s="244" t="s">
        <v>329</v>
      </c>
      <c r="Q19" s="244"/>
    </row>
    <row r="20" spans="4:17" x14ac:dyDescent="0.25">
      <c r="D20" s="1" t="s">
        <v>106</v>
      </c>
      <c r="E20" s="1">
        <v>0</v>
      </c>
      <c r="F20" s="244"/>
      <c r="G20" s="1" t="s">
        <v>106</v>
      </c>
      <c r="H20" s="1">
        <f>E20</f>
        <v>0</v>
      </c>
      <c r="I20" s="244"/>
      <c r="J20" s="1" t="s">
        <v>106</v>
      </c>
      <c r="K20" s="1">
        <f>E20</f>
        <v>0</v>
      </c>
      <c r="L20" s="244"/>
      <c r="M20" s="1" t="s">
        <v>106</v>
      </c>
      <c r="N20" s="1">
        <f>E20</f>
        <v>0</v>
      </c>
      <c r="P20" s="1" t="s">
        <v>106</v>
      </c>
      <c r="Q20" s="1">
        <f>H20</f>
        <v>0</v>
      </c>
    </row>
    <row r="21" spans="4:17" x14ac:dyDescent="0.25">
      <c r="D21" s="1" t="s">
        <v>107</v>
      </c>
      <c r="E21" s="1">
        <v>0.19</v>
      </c>
      <c r="F21" s="244"/>
      <c r="G21" s="1" t="s">
        <v>108</v>
      </c>
      <c r="H21" s="1">
        <v>0.3</v>
      </c>
      <c r="I21" s="244"/>
      <c r="J21" s="1" t="s">
        <v>113</v>
      </c>
      <c r="K21" s="1">
        <f>0.14+0.1</f>
        <v>0.24000000000000002</v>
      </c>
      <c r="L21" s="244"/>
      <c r="M21" s="1" t="s">
        <v>107</v>
      </c>
      <c r="N21" s="1">
        <v>0.19</v>
      </c>
      <c r="P21" s="1" t="s">
        <v>107</v>
      </c>
      <c r="Q21" s="44">
        <v>0.19</v>
      </c>
    </row>
    <row r="22" spans="4:17" x14ac:dyDescent="0.25">
      <c r="D22" s="1" t="s">
        <v>108</v>
      </c>
      <c r="E22" s="1">
        <v>0.3</v>
      </c>
      <c r="F22" s="244"/>
      <c r="G22" s="1" t="s">
        <v>110</v>
      </c>
      <c r="H22" s="1">
        <v>2</v>
      </c>
      <c r="I22" s="244"/>
      <c r="J22" s="1" t="s">
        <v>114</v>
      </c>
      <c r="K22" s="1">
        <v>0.45</v>
      </c>
      <c r="L22" s="244"/>
      <c r="M22" s="1" t="s">
        <v>144</v>
      </c>
      <c r="N22" s="1">
        <f>0.05*2</f>
        <v>0.1</v>
      </c>
      <c r="P22" s="1" t="s">
        <v>144</v>
      </c>
      <c r="Q22" s="44">
        <v>0.15</v>
      </c>
    </row>
    <row r="23" spans="4:17" x14ac:dyDescent="0.25">
      <c r="D23" s="1" t="s">
        <v>109</v>
      </c>
      <c r="E23" s="26">
        <f>E20*E21*E22</f>
        <v>0</v>
      </c>
      <c r="F23" s="244"/>
      <c r="G23" s="1" t="s">
        <v>189</v>
      </c>
      <c r="H23" s="26">
        <f>H20*H21*H22</f>
        <v>0</v>
      </c>
      <c r="I23" s="244"/>
      <c r="J23" s="1" t="s">
        <v>115</v>
      </c>
      <c r="K23" s="26">
        <f>K20*K21*K22</f>
        <v>0</v>
      </c>
      <c r="L23" s="244"/>
      <c r="M23" s="1" t="s">
        <v>149</v>
      </c>
      <c r="N23" s="26">
        <f>((N22*2)+N21)*N20</f>
        <v>0</v>
      </c>
      <c r="P23" s="1" t="s">
        <v>330</v>
      </c>
      <c r="Q23" s="26">
        <f>Q20*Q22*Q21</f>
        <v>0</v>
      </c>
    </row>
    <row r="24" spans="4:17" x14ac:dyDescent="0.25">
      <c r="D24" s="1"/>
      <c r="E24" s="1"/>
      <c r="F24" s="244"/>
      <c r="G24" s="1"/>
      <c r="H24" s="1"/>
      <c r="I24" s="244"/>
      <c r="J24" s="1"/>
      <c r="K24" s="1"/>
      <c r="L24" s="244"/>
      <c r="M24" s="1"/>
      <c r="N24" s="1"/>
      <c r="P24" s="1"/>
      <c r="Q24" s="1"/>
    </row>
    <row r="25" spans="4:17" x14ac:dyDescent="0.25">
      <c r="D25" s="244" t="s">
        <v>131</v>
      </c>
      <c r="E25" s="244"/>
      <c r="F25" s="244"/>
      <c r="G25" s="244" t="s">
        <v>220</v>
      </c>
      <c r="H25" s="244"/>
      <c r="I25" s="244"/>
      <c r="J25" s="244" t="s">
        <v>112</v>
      </c>
      <c r="K25" s="244"/>
      <c r="L25" s="244"/>
      <c r="M25" s="244" t="s">
        <v>142</v>
      </c>
      <c r="N25" s="244"/>
      <c r="P25" s="244" t="s">
        <v>142</v>
      </c>
      <c r="Q25" s="244"/>
    </row>
    <row r="26" spans="4:17" x14ac:dyDescent="0.25">
      <c r="D26" s="1" t="s">
        <v>106</v>
      </c>
      <c r="E26" s="1">
        <f>15.75+1.45+0.9+0.9</f>
        <v>18.999999999999996</v>
      </c>
      <c r="F26" s="244"/>
      <c r="G26" s="1" t="s">
        <v>106</v>
      </c>
      <c r="H26" s="1">
        <f>E26</f>
        <v>18.999999999999996</v>
      </c>
      <c r="I26" s="244"/>
      <c r="J26" s="1" t="s">
        <v>106</v>
      </c>
      <c r="K26" s="1">
        <f>E26</f>
        <v>18.999999999999996</v>
      </c>
      <c r="L26" s="244"/>
      <c r="M26" s="1" t="s">
        <v>106</v>
      </c>
      <c r="N26" s="1">
        <f>E26</f>
        <v>18.999999999999996</v>
      </c>
      <c r="P26" s="1" t="s">
        <v>106</v>
      </c>
      <c r="Q26" s="1">
        <f>H26</f>
        <v>18.999999999999996</v>
      </c>
    </row>
    <row r="27" spans="4:17" x14ac:dyDescent="0.25">
      <c r="D27" s="1" t="s">
        <v>107</v>
      </c>
      <c r="E27" s="1">
        <v>0.12</v>
      </c>
      <c r="F27" s="244"/>
      <c r="G27" s="1" t="s">
        <v>108</v>
      </c>
      <c r="H27" s="1">
        <v>0.3</v>
      </c>
      <c r="I27" s="244"/>
      <c r="J27" s="1" t="s">
        <v>113</v>
      </c>
      <c r="K27" s="1">
        <f>0.12+0.1</f>
        <v>0.22</v>
      </c>
      <c r="L27" s="244"/>
      <c r="M27" s="1" t="s">
        <v>107</v>
      </c>
      <c r="N27" s="1">
        <v>0.12</v>
      </c>
      <c r="P27" s="1" t="s">
        <v>107</v>
      </c>
      <c r="Q27" s="44">
        <v>0.12</v>
      </c>
    </row>
    <row r="28" spans="4:17" x14ac:dyDescent="0.25">
      <c r="D28" s="1" t="s">
        <v>108</v>
      </c>
      <c r="E28" s="1">
        <v>0.3</v>
      </c>
      <c r="F28" s="244"/>
      <c r="G28" s="1" t="s">
        <v>110</v>
      </c>
      <c r="H28" s="1">
        <v>2</v>
      </c>
      <c r="I28" s="244"/>
      <c r="J28" s="1" t="s">
        <v>114</v>
      </c>
      <c r="K28" s="1">
        <v>0.45</v>
      </c>
      <c r="L28" s="244"/>
      <c r="M28" s="1" t="s">
        <v>143</v>
      </c>
      <c r="N28" s="1">
        <f>0.05*2</f>
        <v>0.1</v>
      </c>
      <c r="P28" s="1" t="s">
        <v>143</v>
      </c>
      <c r="Q28" s="1">
        <v>0.15</v>
      </c>
    </row>
    <row r="29" spans="4:17" x14ac:dyDescent="0.25">
      <c r="D29" s="1" t="s">
        <v>109</v>
      </c>
      <c r="E29" s="26">
        <f>E26*E27*E28</f>
        <v>0.68399999999999983</v>
      </c>
      <c r="F29" s="244"/>
      <c r="G29" s="1" t="s">
        <v>111</v>
      </c>
      <c r="H29" s="26">
        <f>H26*H27*H28</f>
        <v>11.399999999999997</v>
      </c>
      <c r="I29" s="244"/>
      <c r="J29" s="1" t="s">
        <v>115</v>
      </c>
      <c r="K29" s="26">
        <f>K26*K27*K28</f>
        <v>1.8809999999999996</v>
      </c>
      <c r="L29" s="244"/>
      <c r="M29" s="1" t="s">
        <v>149</v>
      </c>
      <c r="N29" s="26">
        <f>N26*((N28*2)+N27)</f>
        <v>6.0799999999999992</v>
      </c>
      <c r="P29" s="1" t="s">
        <v>330</v>
      </c>
      <c r="Q29" s="26">
        <f>Q26*Q28*Q27</f>
        <v>0.34199999999999992</v>
      </c>
    </row>
    <row r="30" spans="4:17" x14ac:dyDescent="0.25"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P30" s="244"/>
      <c r="Q30" s="244"/>
    </row>
    <row r="31" spans="4:17" x14ac:dyDescent="0.25">
      <c r="D31" s="1" t="s">
        <v>109</v>
      </c>
      <c r="E31" s="26">
        <f>E23+E29</f>
        <v>0.68399999999999983</v>
      </c>
      <c r="F31" s="244"/>
      <c r="G31" s="1" t="s">
        <v>111</v>
      </c>
      <c r="H31" s="26">
        <f>H29+H23</f>
        <v>11.399999999999997</v>
      </c>
      <c r="I31" s="244"/>
      <c r="J31" s="1" t="s">
        <v>115</v>
      </c>
      <c r="K31" s="26">
        <f>K23+K29</f>
        <v>1.8809999999999996</v>
      </c>
      <c r="L31" s="244"/>
      <c r="M31" s="1" t="s">
        <v>149</v>
      </c>
      <c r="N31" s="26">
        <f>N23+N29</f>
        <v>6.0799999999999992</v>
      </c>
      <c r="P31" s="1" t="s">
        <v>330</v>
      </c>
      <c r="Q31" s="26">
        <f>Q23+Q29</f>
        <v>0.34199999999999992</v>
      </c>
    </row>
  </sheetData>
  <mergeCells count="38">
    <mergeCell ref="P30:Q30"/>
    <mergeCell ref="P19:Q19"/>
    <mergeCell ref="D25:E25"/>
    <mergeCell ref="G25:H25"/>
    <mergeCell ref="J25:K25"/>
    <mergeCell ref="M25:N25"/>
    <mergeCell ref="P25:Q25"/>
    <mergeCell ref="D18:N18"/>
    <mergeCell ref="D19:E19"/>
    <mergeCell ref="F19:F31"/>
    <mergeCell ref="G19:H19"/>
    <mergeCell ref="I19:I31"/>
    <mergeCell ref="J19:K19"/>
    <mergeCell ref="L19:L31"/>
    <mergeCell ref="M19:N19"/>
    <mergeCell ref="D30:E30"/>
    <mergeCell ref="G30:H30"/>
    <mergeCell ref="J30:K30"/>
    <mergeCell ref="M30:N30"/>
    <mergeCell ref="D3:N3"/>
    <mergeCell ref="D4:E4"/>
    <mergeCell ref="F4:F16"/>
    <mergeCell ref="G4:H4"/>
    <mergeCell ref="I4:I16"/>
    <mergeCell ref="J4:K4"/>
    <mergeCell ref="L4:L16"/>
    <mergeCell ref="D10:E10"/>
    <mergeCell ref="G10:H10"/>
    <mergeCell ref="J10:K10"/>
    <mergeCell ref="M4:N4"/>
    <mergeCell ref="P4:Q4"/>
    <mergeCell ref="M10:N10"/>
    <mergeCell ref="P10:Q10"/>
    <mergeCell ref="D15:E15"/>
    <mergeCell ref="G15:H15"/>
    <mergeCell ref="J15:K15"/>
    <mergeCell ref="M15:N15"/>
    <mergeCell ref="P15:Q1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7:I40"/>
  <sheetViews>
    <sheetView workbookViewId="0">
      <selection activeCell="G17" sqref="G17"/>
    </sheetView>
  </sheetViews>
  <sheetFormatPr defaultRowHeight="15" x14ac:dyDescent="0.25"/>
  <cols>
    <col min="4" max="4" width="27.85546875" customWidth="1"/>
    <col min="8" max="8" width="9.28515625" customWidth="1"/>
    <col min="9" max="9" width="9.5703125" customWidth="1"/>
  </cols>
  <sheetData>
    <row r="7" spans="4:9" x14ac:dyDescent="0.25">
      <c r="D7" s="244" t="s">
        <v>221</v>
      </c>
      <c r="E7" s="244"/>
      <c r="H7" s="244" t="s">
        <v>197</v>
      </c>
      <c r="I7" s="244"/>
    </row>
    <row r="8" spans="4:9" x14ac:dyDescent="0.25">
      <c r="D8" s="1" t="s">
        <v>117</v>
      </c>
      <c r="E8" s="1">
        <v>3.9</v>
      </c>
      <c r="H8" s="1" t="s">
        <v>194</v>
      </c>
      <c r="I8" s="1">
        <f>3*2.1</f>
        <v>6.3000000000000007</v>
      </c>
    </row>
    <row r="9" spans="4:9" x14ac:dyDescent="0.25">
      <c r="D9" s="1" t="s">
        <v>118</v>
      </c>
      <c r="E9" s="1">
        <v>16.5</v>
      </c>
      <c r="H9" s="1" t="s">
        <v>195</v>
      </c>
      <c r="I9" s="1">
        <f>2.5*2.1*2</f>
        <v>10.5</v>
      </c>
    </row>
    <row r="10" spans="4:9" x14ac:dyDescent="0.25">
      <c r="D10" s="1" t="s">
        <v>119</v>
      </c>
      <c r="E10" s="26">
        <f>E8*E9</f>
        <v>64.349999999999994</v>
      </c>
      <c r="H10" s="1" t="s">
        <v>196</v>
      </c>
      <c r="I10" s="1">
        <f>0.9*2.1*5</f>
        <v>9.4500000000000011</v>
      </c>
    </row>
    <row r="11" spans="4:9" x14ac:dyDescent="0.25">
      <c r="H11" s="1" t="s">
        <v>222</v>
      </c>
      <c r="I11" s="1">
        <f>0.8*2.1</f>
        <v>1.6800000000000002</v>
      </c>
    </row>
    <row r="12" spans="4:9" x14ac:dyDescent="0.25">
      <c r="H12" s="1" t="s">
        <v>198</v>
      </c>
      <c r="I12" s="1">
        <f>0.8*0.6*2</f>
        <v>0.96</v>
      </c>
    </row>
    <row r="13" spans="4:9" x14ac:dyDescent="0.25">
      <c r="D13" s="244" t="s">
        <v>132</v>
      </c>
      <c r="E13" s="244"/>
      <c r="H13" s="1" t="s">
        <v>199</v>
      </c>
      <c r="I13" s="1">
        <f>1.2*0.6*6</f>
        <v>4.32</v>
      </c>
    </row>
    <row r="14" spans="4:9" x14ac:dyDescent="0.25">
      <c r="D14" s="1" t="s">
        <v>117</v>
      </c>
      <c r="E14" s="1">
        <v>3.9</v>
      </c>
      <c r="H14" s="1" t="s">
        <v>200</v>
      </c>
      <c r="I14" s="1">
        <f>SUM(I8:I13)</f>
        <v>33.21</v>
      </c>
    </row>
    <row r="15" spans="4:9" x14ac:dyDescent="0.25">
      <c r="D15" s="1" t="s">
        <v>118</v>
      </c>
      <c r="E15" s="1">
        <f>14.75+6.15+3.15+8.6+11.45+4+2.85+6.8+2.83+6.45+1.6+3</f>
        <v>71.629999999999981</v>
      </c>
    </row>
    <row r="16" spans="4:9" x14ac:dyDescent="0.25">
      <c r="D16" s="1" t="s">
        <v>119</v>
      </c>
      <c r="E16" s="26">
        <f>+E22+E28-I14</f>
        <v>108.71999999999997</v>
      </c>
    </row>
    <row r="17" spans="4:7" x14ac:dyDescent="0.25">
      <c r="G17" s="19">
        <f>E16+E22+E28</f>
        <v>250.64999999999995</v>
      </c>
    </row>
    <row r="19" spans="4:7" x14ac:dyDescent="0.25">
      <c r="D19" s="244" t="s">
        <v>132</v>
      </c>
      <c r="E19" s="244"/>
    </row>
    <row r="20" spans="4:7" x14ac:dyDescent="0.25">
      <c r="D20" s="1" t="s">
        <v>117</v>
      </c>
      <c r="E20" s="1">
        <v>3</v>
      </c>
    </row>
    <row r="21" spans="4:7" x14ac:dyDescent="0.25">
      <c r="D21" s="1" t="s">
        <v>118</v>
      </c>
      <c r="E21" s="1">
        <f>5.65+5.65+2+1.5+2.85+0.56+2.5+2.5</f>
        <v>23.21</v>
      </c>
    </row>
    <row r="22" spans="4:7" x14ac:dyDescent="0.25">
      <c r="D22" s="1" t="s">
        <v>119</v>
      </c>
      <c r="E22" s="26">
        <f>E20*E21</f>
        <v>69.63</v>
      </c>
    </row>
    <row r="25" spans="4:7" x14ac:dyDescent="0.25">
      <c r="D25" s="244" t="s">
        <v>160</v>
      </c>
      <c r="E25" s="244"/>
    </row>
    <row r="26" spans="4:7" x14ac:dyDescent="0.25">
      <c r="D26" s="1" t="s">
        <v>117</v>
      </c>
      <c r="E26" s="1">
        <v>1</v>
      </c>
    </row>
    <row r="27" spans="4:7" x14ac:dyDescent="0.25">
      <c r="D27" s="1" t="s">
        <v>118</v>
      </c>
      <c r="E27" s="1">
        <f>14.9+14.75+6.3+3.15+8.6+11.45+11.55+1.6</f>
        <v>72.299999999999983</v>
      </c>
    </row>
    <row r="28" spans="4:7" x14ac:dyDescent="0.25">
      <c r="D28" s="1" t="s">
        <v>119</v>
      </c>
      <c r="E28" s="26">
        <f>E26*E27</f>
        <v>72.299999999999983</v>
      </c>
    </row>
    <row r="31" spans="4:7" x14ac:dyDescent="0.25">
      <c r="D31" s="244" t="s">
        <v>263</v>
      </c>
      <c r="E31" s="244"/>
    </row>
    <row r="32" spans="4:7" x14ac:dyDescent="0.25">
      <c r="D32" s="1" t="s">
        <v>117</v>
      </c>
      <c r="E32" s="1">
        <v>2</v>
      </c>
    </row>
    <row r="33" spans="4:5" x14ac:dyDescent="0.25">
      <c r="D33" s="1" t="s">
        <v>118</v>
      </c>
      <c r="E33" s="1">
        <f>1.6+15.75+1</f>
        <v>18.350000000000001</v>
      </c>
    </row>
    <row r="34" spans="4:5" x14ac:dyDescent="0.25">
      <c r="D34" s="1" t="s">
        <v>119</v>
      </c>
      <c r="E34" s="26">
        <f>E32*E33</f>
        <v>36.700000000000003</v>
      </c>
    </row>
    <row r="37" spans="4:5" x14ac:dyDescent="0.25">
      <c r="D37" s="244" t="s">
        <v>263</v>
      </c>
      <c r="E37" s="244"/>
    </row>
    <row r="38" spans="4:5" x14ac:dyDescent="0.25">
      <c r="D38" s="1" t="s">
        <v>117</v>
      </c>
      <c r="E38" s="1">
        <v>0.9</v>
      </c>
    </row>
    <row r="39" spans="4:5" x14ac:dyDescent="0.25">
      <c r="D39" s="1" t="s">
        <v>118</v>
      </c>
      <c r="E39" s="1">
        <f>2.5+12.5+6</f>
        <v>21</v>
      </c>
    </row>
    <row r="40" spans="4:5" x14ac:dyDescent="0.25">
      <c r="D40" s="1" t="s">
        <v>119</v>
      </c>
      <c r="E40" s="26">
        <f>E38*E39</f>
        <v>18.900000000000002</v>
      </c>
    </row>
  </sheetData>
  <mergeCells count="7">
    <mergeCell ref="H7:I7"/>
    <mergeCell ref="D31:E31"/>
    <mergeCell ref="D37:E37"/>
    <mergeCell ref="D7:E7"/>
    <mergeCell ref="D13:E13"/>
    <mergeCell ref="D19:E19"/>
    <mergeCell ref="D25:E2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3</vt:i4>
      </vt:variant>
    </vt:vector>
  </HeadingPairs>
  <TitlesOfParts>
    <vt:vector size="14" baseType="lpstr">
      <vt:lpstr>PO</vt:lpstr>
      <vt:lpstr>Planilha3</vt:lpstr>
      <vt:lpstr>Planilha4</vt:lpstr>
      <vt:lpstr>Planilha6</vt:lpstr>
      <vt:lpstr>PINTURA</vt:lpstr>
      <vt:lpstr>Planilha2</vt:lpstr>
      <vt:lpstr>Planilha1</vt:lpstr>
      <vt:lpstr>Baldrame</vt:lpstr>
      <vt:lpstr>Alvenaria</vt:lpstr>
      <vt:lpstr>Revestimento</vt:lpstr>
      <vt:lpstr>VIGAS, PILARES, VERGAS</vt:lpstr>
      <vt:lpstr>Planilha4!Area_de_impressao</vt:lpstr>
      <vt:lpstr>PO!Area_de_impressao</vt:lpstr>
      <vt:lpstr>PO!Titulos_de_impressao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2026-06-24T14:15:35Z</dcterms:modified>
</cp:coreProperties>
</file>